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491" yWindow="0" windowWidth="17400" windowHeight="4605" tabRatio="648" activeTab="0"/>
  </bookViews>
  <sheets>
    <sheet name="Title" sheetId="1" r:id="rId1"/>
    <sheet name="Econ Impact Summary" sheetId="2" r:id="rId2"/>
    <sheet name="Farm &amp; Buffer Assumptions" sheetId="3" r:id="rId3"/>
    <sheet name="Prices" sheetId="4" r:id="rId4"/>
    <sheet name="Livestock Receipts &amp; Feed Req." sheetId="5" r:id="rId5"/>
    <sheet name="Cap Investment&amp;Machinery" sheetId="6" r:id="rId6"/>
    <sheet name="Budget w.o. buffer" sheetId="7" r:id="rId7"/>
    <sheet name="Buffer Builder" sheetId="8" r:id="rId8"/>
    <sheet name="Budget with buffer " sheetId="9" r:id="rId9"/>
    <sheet name="Buffer Budgets" sheetId="10" r:id="rId10"/>
    <sheet name="Buffer Harvest Sched" sheetId="11" r:id="rId11"/>
  </sheets>
  <definedNames>
    <definedName name="_xlnm.Print_Area" localSheetId="6">'Budget w.o. buffer'!$A$1:$F$63</definedName>
    <definedName name="_xlnm.Print_Area" localSheetId="8">'Budget with buffer '!$A$1:$F$64</definedName>
    <definedName name="_xlnm.Print_Area" localSheetId="9">'Buffer Budgets'!$A$1:$H$207</definedName>
    <definedName name="_xlnm.Print_Area" localSheetId="7">'Buffer Builder'!$A$1:$D$163</definedName>
    <definedName name="_xlnm.Print_Area" localSheetId="5">'Cap Investment&amp;Machinery'!$A$1:$N$59</definedName>
    <definedName name="_xlnm.Print_Area" localSheetId="1">'Econ Impact Summary'!$A$1:$AC$43</definedName>
    <definedName name="_xlnm.Print_Area" localSheetId="2">'Farm &amp; Buffer Assumptions'!$A$1:$D$130</definedName>
    <definedName name="_xlnm.Print_Area" localSheetId="4">'Livestock Receipts &amp; Feed Req.'!$A$1:$O$45</definedName>
    <definedName name="_xlnm.Print_Area" localSheetId="3">'Prices'!$A$1:$E$58</definedName>
    <definedName name="_xlnm.Print_Area" localSheetId="0">'Title'!$A$1:$A$42</definedName>
  </definedNames>
  <calcPr fullCalcOnLoad="1"/>
</workbook>
</file>

<file path=xl/comments10.xml><?xml version="1.0" encoding="utf-8"?>
<comments xmlns="http://schemas.openxmlformats.org/spreadsheetml/2006/main">
  <authors>
    <author>Carolyn J. Henri</author>
  </authors>
  <commentList>
    <comment ref="M67" authorId="0">
      <text>
        <r>
          <rPr>
            <b/>
            <sz val="8"/>
            <rFont val="Tahoma"/>
            <family val="0"/>
          </rPr>
          <t>Carolyn J. Henri:</t>
        </r>
        <r>
          <rPr>
            <sz val="8"/>
            <rFont val="Tahoma"/>
            <family val="0"/>
          </rPr>
          <t xml:space="preserve">
Less than worksheet because it's projected over 100 years.  Worksheet is projection over indefinite period.</t>
        </r>
      </text>
    </comment>
    <comment ref="G196" authorId="0">
      <text>
        <r>
          <rPr>
            <sz val="8"/>
            <rFont val="Tahoma"/>
            <family val="0"/>
          </rPr>
          <t xml:space="preserve">
This number is the present value of tilling as part of re-establishment of the stand every X  years.  (X is established in the Farm and Buffer Assumptions worksheet.)</t>
        </r>
      </text>
    </comment>
    <comment ref="G197" authorId="0">
      <text>
        <r>
          <rPr>
            <sz val="8"/>
            <rFont val="Tahoma"/>
            <family val="0"/>
          </rPr>
          <t xml:space="preserve">
This number is the present value of seeding as part of re-establishment of the stand every X  years.  (X is established in the Farm and Buffer Assumptions worksheet.)</t>
        </r>
      </text>
    </comment>
    <comment ref="E147" authorId="0">
      <text>
        <r>
          <rPr>
            <b/>
            <sz val="8"/>
            <rFont val="Tahoma"/>
            <family val="0"/>
          </rPr>
          <t>Carolyn J. Henri:</t>
        </r>
        <r>
          <rPr>
            <sz val="8"/>
            <rFont val="Tahoma"/>
            <family val="0"/>
          </rPr>
          <t xml:space="preserve">
</t>
        </r>
      </text>
    </comment>
    <comment ref="E148" authorId="0">
      <text>
        <r>
          <rPr>
            <sz val="8"/>
            <rFont val="Tahoma"/>
            <family val="0"/>
          </rPr>
          <t xml:space="preserve">
This is the total volume harvested over the entire period of years selected for the harvest evaluation.  See Buffer Harvest Sched worksheet for more detail.</t>
        </r>
      </text>
    </comment>
    <comment ref="E149" authorId="0">
      <text>
        <r>
          <rPr>
            <sz val="8"/>
            <rFont val="Tahoma"/>
            <family val="0"/>
          </rPr>
          <t xml:space="preserve">
This is the total volume harvested over the entire period of years selected for the harvest evaluation.  See Buffer Harvest Sched worksheet for more detail.</t>
        </r>
      </text>
    </comment>
    <comment ref="F148" authorId="0">
      <text>
        <r>
          <rPr>
            <b/>
            <sz val="8"/>
            <rFont val="Tahoma"/>
            <family val="0"/>
          </rPr>
          <t>Carolyn J. Henri:</t>
        </r>
        <r>
          <rPr>
            <sz val="8"/>
            <rFont val="Tahoma"/>
            <family val="0"/>
          </rPr>
          <t xml:space="preserve">
Leave this cell blank
</t>
        </r>
      </text>
    </comment>
    <comment ref="F149" authorId="0">
      <text>
        <r>
          <rPr>
            <b/>
            <sz val="8"/>
            <rFont val="Tahoma"/>
            <family val="0"/>
          </rPr>
          <t>Carolyn J. Henri:</t>
        </r>
        <r>
          <rPr>
            <sz val="8"/>
            <rFont val="Tahoma"/>
            <family val="0"/>
          </rPr>
          <t xml:space="preserve">
Leave this cell blank
</t>
        </r>
      </text>
    </comment>
    <comment ref="B148" authorId="0">
      <text>
        <r>
          <rPr>
            <b/>
            <sz val="8"/>
            <rFont val="Tahoma"/>
            <family val="0"/>
          </rPr>
          <t>Carolyn J. Henri:</t>
        </r>
        <r>
          <rPr>
            <sz val="8"/>
            <rFont val="Tahoma"/>
            <family val="0"/>
          </rPr>
          <t xml:space="preserve">
Hardwoods are harvested every twenty years</t>
        </r>
      </text>
    </comment>
    <comment ref="B149" authorId="0">
      <text>
        <r>
          <rPr>
            <b/>
            <sz val="8"/>
            <rFont val="Tahoma"/>
            <family val="0"/>
          </rPr>
          <t>Carolyn J. Henri:</t>
        </r>
        <r>
          <rPr>
            <sz val="8"/>
            <rFont val="Tahoma"/>
            <family val="0"/>
          </rPr>
          <t xml:space="preserve">
Softwoods are harvested every 35 years</t>
        </r>
      </text>
    </comment>
    <comment ref="C147" authorId="0">
      <text>
        <r>
          <rPr>
            <sz val="8"/>
            <rFont val="Tahoma"/>
            <family val="0"/>
          </rPr>
          <t xml:space="preserve">
MBF = thousand board feet</t>
        </r>
      </text>
    </comment>
    <comment ref="E160" authorId="0">
      <text>
        <r>
          <rPr>
            <sz val="8"/>
            <rFont val="Tahoma"/>
            <family val="0"/>
          </rPr>
          <t xml:space="preserve">
The default assumption is that 10% of the stand will have to be replanted due to mortality caused by damage, drought, beaver, etc.  This percentage can be changed by the used.</t>
        </r>
      </text>
    </comment>
    <comment ref="B164" authorId="0">
      <text>
        <r>
          <rPr>
            <b/>
            <sz val="8"/>
            <rFont val="Tahoma"/>
            <family val="0"/>
          </rPr>
          <t>Carolyn J. Henri:</t>
        </r>
        <r>
          <rPr>
            <sz val="8"/>
            <rFont val="Tahoma"/>
            <family val="0"/>
          </rPr>
          <t xml:space="preserve">
Hardwoods are logged every 20 years.  Softwoods are logged every 35 years.</t>
        </r>
      </text>
    </comment>
    <comment ref="F164" authorId="0">
      <text>
        <r>
          <rPr>
            <b/>
            <sz val="8"/>
            <rFont val="Tahoma"/>
            <family val="0"/>
          </rPr>
          <t>Carolyn J. Henri:</t>
        </r>
        <r>
          <rPr>
            <sz val="8"/>
            <rFont val="Tahoma"/>
            <family val="0"/>
          </rPr>
          <t xml:space="preserve">
Leave this cell blank
</t>
        </r>
      </text>
    </comment>
    <comment ref="F165" authorId="0">
      <text>
        <r>
          <rPr>
            <b/>
            <sz val="8"/>
            <rFont val="Tahoma"/>
            <family val="0"/>
          </rPr>
          <t>Carolyn J. Henri:</t>
        </r>
        <r>
          <rPr>
            <sz val="8"/>
            <rFont val="Tahoma"/>
            <family val="0"/>
          </rPr>
          <t xml:space="preserve">
Leave this cell blank
</t>
        </r>
      </text>
    </comment>
    <comment ref="G161" authorId="0">
      <text>
        <r>
          <rPr>
            <sz val="8"/>
            <rFont val="Tahoma"/>
            <family val="0"/>
          </rPr>
          <t xml:space="preserve">
Present value of a one time cost that will be incurred 15 years from now.</t>
        </r>
      </text>
    </comment>
    <comment ref="G164" authorId="0">
      <text>
        <r>
          <rPr>
            <sz val="8"/>
            <rFont val="Tahoma"/>
            <family val="0"/>
          </rPr>
          <t xml:space="preserve">
Present value of a perpetual series of costs that will occur every 20 years for hardwood logging and every 35 years for softwood logging.</t>
        </r>
      </text>
    </comment>
    <comment ref="A73" authorId="0">
      <text>
        <r>
          <rPr>
            <sz val="8"/>
            <rFont val="Tahoma"/>
            <family val="0"/>
          </rPr>
          <t xml:space="preserve">This is an estimate of fixed costs per acre for a 400 acre silage farm.  Change this number to better reflect your own fixed costs per acre.  
Fixed costs are included in the hay buffer budget because it is assumed that the farmer would spread his/her fixed costs over productive acreage in the buffer in addition to his normal production acreage.
Note that an operator management fee and land rent cost associated with silage production are not attributed to the buffer area.
</t>
        </r>
      </text>
    </comment>
    <comment ref="G5" authorId="0">
      <text>
        <r>
          <rPr>
            <b/>
            <sz val="10"/>
            <rFont val="Trebuchet MS"/>
            <family val="2"/>
          </rPr>
          <t>Carolyn J. Henri:</t>
        </r>
        <r>
          <rPr>
            <sz val="10"/>
            <rFont val="Trebuchet MS"/>
            <family val="2"/>
          </rPr>
          <t xml:space="preserve">
Present value of equal annual payments.  
Equation : P= A X  (1+i)</t>
        </r>
        <r>
          <rPr>
            <vertAlign val="superscript"/>
            <sz val="12"/>
            <rFont val="Trebuchet MS"/>
            <family val="2"/>
          </rPr>
          <t>n</t>
        </r>
        <r>
          <rPr>
            <sz val="10"/>
            <rFont val="Trebuchet MS"/>
            <family val="2"/>
          </rPr>
          <t>-1
                              ----------
                               i(1+i)</t>
        </r>
        <r>
          <rPr>
            <vertAlign val="superscript"/>
            <sz val="12"/>
            <rFont val="Trebuchet MS"/>
            <family val="2"/>
          </rPr>
          <t>n</t>
        </r>
      </text>
    </comment>
    <comment ref="G6" authorId="0">
      <text>
        <r>
          <rPr>
            <b/>
            <sz val="8"/>
            <rFont val="Tahoma"/>
            <family val="0"/>
          </rPr>
          <t>Carolyn J. Henri:</t>
        </r>
        <r>
          <rPr>
            <sz val="8"/>
            <rFont val="Tahoma"/>
            <family val="0"/>
          </rPr>
          <t xml:space="preserve">
Note, in general  land rental rates are lower for range land then for crop land due to poorer soil quality.</t>
        </r>
      </text>
    </comment>
    <comment ref="G86" authorId="0">
      <text>
        <r>
          <rPr>
            <b/>
            <sz val="8"/>
            <rFont val="Tahoma"/>
            <family val="0"/>
          </rPr>
          <t>Carolyn J. Henri:</t>
        </r>
        <r>
          <rPr>
            <sz val="8"/>
            <rFont val="Tahoma"/>
            <family val="0"/>
          </rPr>
          <t xml:space="preserve">
Since this one-time payment will not be made until year two of the project, the value of this payment expressed in today's dollars is less than the amount that will be paid in year 2.  </t>
        </r>
      </text>
    </comment>
    <comment ref="G99" authorId="0">
      <text>
        <r>
          <rPr>
            <b/>
            <sz val="8"/>
            <rFont val="Tahoma"/>
            <family val="0"/>
          </rPr>
          <t>Carolyn J. Henri:</t>
        </r>
        <r>
          <rPr>
            <sz val="8"/>
            <rFont val="Tahoma"/>
            <family val="0"/>
          </rPr>
          <t xml:space="preserve">
Since this one-time payment will not be made until year two of the project, the value of this payment expressed in today's dollars is less than the amount that will be paid in year 2.  </t>
        </r>
      </text>
    </comment>
    <comment ref="G115" authorId="0">
      <text>
        <r>
          <rPr>
            <b/>
            <sz val="8"/>
            <rFont val="Tahoma"/>
            <family val="0"/>
          </rPr>
          <t>Carolyn J. Henri:</t>
        </r>
        <r>
          <rPr>
            <sz val="8"/>
            <rFont val="Tahoma"/>
            <family val="0"/>
          </rPr>
          <t xml:space="preserve">
Since this one-time payment will not be made until year two of the project, the value of this payment expressed in today's dollars is less than the amount that will be paid in year 2.  </t>
        </r>
      </text>
    </comment>
    <comment ref="D190" authorId="0">
      <text>
        <r>
          <rPr>
            <sz val="8"/>
            <rFont val="Tahoma"/>
            <family val="0"/>
          </rPr>
          <t xml:space="preserve">
This includes N fertilizer, NPK fertilizer, and lime.  The majority of the cost is the initial dose of lime at installation.  This number should be adjusted to your particular management.</t>
        </r>
      </text>
    </comment>
    <comment ref="A199" authorId="0">
      <text>
        <r>
          <rPr>
            <sz val="8"/>
            <rFont val="Tahoma"/>
            <family val="0"/>
          </rPr>
          <t xml:space="preserve">
This is an estimate of fixed costs per acre for a 400 acre silage farm.  Change this number to better reflect your own fixed costs per acre.  
Fixed costs are included in the silage buffer budget because it is assumed that the farmer would spread his/her fixed costs over productive acreage in the buffer in addition to his normal production acreage.
</t>
        </r>
        <r>
          <rPr>
            <b/>
            <sz val="8"/>
            <rFont val="Tahoma"/>
            <family val="2"/>
          </rPr>
          <t>Note</t>
        </r>
        <r>
          <rPr>
            <sz val="8"/>
            <rFont val="Tahoma"/>
            <family val="0"/>
          </rPr>
          <t xml:space="preserve"> that an operator management fee and land rent cost associated with silage production are not attributed to the buffer area.  That is why the silage buffer can make $ while the full silage enterprise cannot.
</t>
        </r>
      </text>
    </comment>
  </commentList>
</comments>
</file>

<file path=xl/comments11.xml><?xml version="1.0" encoding="utf-8"?>
<comments xmlns="http://schemas.openxmlformats.org/spreadsheetml/2006/main">
  <authors>
    <author>Carolyn J. Henri</author>
  </authors>
  <commentList>
    <comment ref="A2" authorId="0">
      <text>
        <r>
          <rPr>
            <sz val="8"/>
            <rFont val="Tahoma"/>
            <family val="0"/>
          </rPr>
          <t xml:space="preserve">
This spreadsheet is intended to help the landowner conceptualize the volumes of timber he or she could produce under a management regime of their choosing, and the associated revenues and costs associated with harvesting a portion of that volume.  Since the resulting volumes depend so heavily on species stocking, spacing, and years chosen for harvest, among many other variables, this is intended only as an outline to help the landowner begin to think about his or her commercial timber production options.   If the landowner is NOT familiar with different species' growth patterns and viable management techniques, he/she should seek the advice of a forester on filling out this table.  Numbers produced in the Present Value boxes of this spreadsheet are transferred to the Managed Forest Buffer Table in the Buffer Budgets worksheet.   </t>
        </r>
      </text>
    </comment>
    <comment ref="A18" authorId="0">
      <text>
        <r>
          <rPr>
            <sz val="8"/>
            <rFont val="Tahoma"/>
            <family val="0"/>
          </rPr>
          <t xml:space="preserve">
Replace the "X" with the appropriate harvest interval for this species.  See Red Alder and Doug Fir above as examples.</t>
        </r>
      </text>
    </comment>
    <comment ref="B18" authorId="0">
      <text>
        <r>
          <rPr>
            <sz val="8"/>
            <rFont val="Tahoma"/>
            <family val="0"/>
          </rPr>
          <t xml:space="preserve">
Fill in the appropriate volume per tree for this species at the age and spacings you have designated.</t>
        </r>
      </text>
    </comment>
    <comment ref="B26" authorId="0">
      <text>
        <r>
          <rPr>
            <b/>
            <sz val="8"/>
            <rFont val="Tahoma"/>
            <family val="0"/>
          </rPr>
          <t>Carolyn J. Henri:</t>
        </r>
        <r>
          <rPr>
            <sz val="8"/>
            <rFont val="Tahoma"/>
            <family val="0"/>
          </rPr>
          <t xml:space="preserve">
Enter weight of Species #3 per MBF in TONS.</t>
        </r>
      </text>
    </comment>
    <comment ref="A27" authorId="0">
      <text>
        <r>
          <rPr>
            <b/>
            <sz val="8"/>
            <rFont val="Tahoma"/>
            <family val="0"/>
          </rPr>
          <t>Carolyn J. Henri:</t>
        </r>
        <r>
          <rPr>
            <sz val="8"/>
            <rFont val="Tahoma"/>
            <family val="0"/>
          </rPr>
          <t xml:space="preserve">
This spreadsheet should only be used for species you intend to harvest for commercial use.  You may plant a number of non-commercial trees and shrubs in your mixed forest buffer.  In that case, you would not include them in this table.</t>
        </r>
      </text>
    </comment>
    <comment ref="B31" authorId="0">
      <text>
        <r>
          <rPr>
            <sz val="8"/>
            <rFont val="Tahoma"/>
            <family val="0"/>
          </rPr>
          <t xml:space="preserve">
Enter # of stems of Red Alder  planted PER ACRE.  
</t>
        </r>
      </text>
    </comment>
    <comment ref="D31" authorId="0">
      <text>
        <r>
          <rPr>
            <b/>
            <sz val="8"/>
            <rFont val="Tahoma"/>
            <family val="0"/>
          </rPr>
          <t>Carolyn J. Henri:</t>
        </r>
        <r>
          <rPr>
            <sz val="8"/>
            <rFont val="Tahoma"/>
            <family val="0"/>
          </rPr>
          <t xml:space="preserve">
Thinning
Not commercial</t>
        </r>
      </text>
    </comment>
    <comment ref="E31" authorId="0">
      <text>
        <r>
          <rPr>
            <b/>
            <sz val="8"/>
            <rFont val="Tahoma"/>
            <family val="0"/>
          </rPr>
          <t>Carolyn J. Henri:</t>
        </r>
        <r>
          <rPr>
            <sz val="8"/>
            <rFont val="Tahoma"/>
            <family val="0"/>
          </rPr>
          <t xml:space="preserve">
5000 board feet
20 yr old trees</t>
        </r>
      </text>
    </comment>
    <comment ref="E32" authorId="0">
      <text>
        <r>
          <rPr>
            <b/>
            <sz val="8"/>
            <rFont val="Tahoma"/>
            <family val="0"/>
          </rPr>
          <t>Carolyn J. Henri:</t>
        </r>
        <r>
          <rPr>
            <sz val="8"/>
            <rFont val="Tahoma"/>
            <family val="0"/>
          </rPr>
          <t xml:space="preserve">
Remaining stems</t>
        </r>
      </text>
    </comment>
    <comment ref="I32" authorId="0">
      <text>
        <r>
          <rPr>
            <b/>
            <sz val="8"/>
            <rFont val="Tahoma"/>
            <family val="0"/>
          </rPr>
          <t>Carolyn J. Henri:</t>
        </r>
        <r>
          <rPr>
            <sz val="8"/>
            <rFont val="Tahoma"/>
            <family val="0"/>
          </rPr>
          <t xml:space="preserve">
40 yr old trees</t>
        </r>
      </text>
    </comment>
    <comment ref="I33" authorId="0">
      <text>
        <r>
          <rPr>
            <b/>
            <sz val="8"/>
            <rFont val="Tahoma"/>
            <family val="0"/>
          </rPr>
          <t>Carolyn J. Henri:</t>
        </r>
        <r>
          <rPr>
            <sz val="8"/>
            <rFont val="Tahoma"/>
            <family val="0"/>
          </rPr>
          <t xml:space="preserve">
remaining stems</t>
        </r>
      </text>
    </comment>
    <comment ref="M33" authorId="0">
      <text>
        <r>
          <rPr>
            <b/>
            <sz val="8"/>
            <rFont val="Tahoma"/>
            <family val="0"/>
          </rPr>
          <t>Carolyn J. Henri:</t>
        </r>
        <r>
          <rPr>
            <sz val="8"/>
            <rFont val="Tahoma"/>
            <family val="0"/>
          </rPr>
          <t xml:space="preserve">
60 year old trees</t>
        </r>
      </text>
    </comment>
    <comment ref="I34" authorId="0">
      <text>
        <r>
          <rPr>
            <b/>
            <sz val="8"/>
            <rFont val="Tahoma"/>
            <family val="0"/>
          </rPr>
          <t>Carolyn J. Henri:</t>
        </r>
        <r>
          <rPr>
            <sz val="8"/>
            <rFont val="Tahoma"/>
            <family val="0"/>
          </rPr>
          <t xml:space="preserve">
20 year old trees</t>
        </r>
      </text>
    </comment>
    <comment ref="M35" authorId="0">
      <text>
        <r>
          <rPr>
            <b/>
            <sz val="8"/>
            <rFont val="Tahoma"/>
            <family val="0"/>
          </rPr>
          <t>Carolyn J. Henri:</t>
        </r>
        <r>
          <rPr>
            <sz val="8"/>
            <rFont val="Tahoma"/>
            <family val="0"/>
          </rPr>
          <t xml:space="preserve">
40 year old trees</t>
        </r>
      </text>
    </comment>
    <comment ref="D36" authorId="0">
      <text>
        <r>
          <rPr>
            <b/>
            <sz val="8"/>
            <rFont val="Tahoma"/>
            <family val="0"/>
          </rPr>
          <t>Carolyn J. Henri:</t>
        </r>
        <r>
          <rPr>
            <sz val="8"/>
            <rFont val="Tahoma"/>
            <family val="0"/>
          </rPr>
          <t xml:space="preserve">
Thin to 125 stems remaining</t>
        </r>
      </text>
    </comment>
    <comment ref="H36" authorId="0">
      <text>
        <r>
          <rPr>
            <b/>
            <sz val="8"/>
            <rFont val="Tahoma"/>
            <family val="0"/>
          </rPr>
          <t>Carolyn J. Henri:</t>
        </r>
        <r>
          <rPr>
            <sz val="8"/>
            <rFont val="Tahoma"/>
            <family val="0"/>
          </rPr>
          <t xml:space="preserve">
Initial harvest of 35 yr old Doug Fir</t>
        </r>
      </text>
    </comment>
    <comment ref="Q36" authorId="0">
      <text>
        <r>
          <rPr>
            <b/>
            <sz val="8"/>
            <rFont val="Tahoma"/>
            <family val="0"/>
          </rPr>
          <t>Carolyn J. Henri:</t>
        </r>
        <r>
          <rPr>
            <sz val="8"/>
            <rFont val="Tahoma"/>
            <family val="0"/>
          </rPr>
          <t xml:space="preserve">
60 yr old
</t>
        </r>
      </text>
    </comment>
    <comment ref="H37" authorId="0">
      <text>
        <r>
          <rPr>
            <b/>
            <sz val="8"/>
            <rFont val="Tahoma"/>
            <family val="0"/>
          </rPr>
          <t>Carolyn J. Henri:</t>
        </r>
        <r>
          <rPr>
            <sz val="8"/>
            <rFont val="Tahoma"/>
            <family val="0"/>
          </rPr>
          <t xml:space="preserve">
Remaining stems
</t>
        </r>
      </text>
    </comment>
    <comment ref="M37" authorId="0">
      <text>
        <r>
          <rPr>
            <b/>
            <sz val="8"/>
            <rFont val="Tahoma"/>
            <family val="0"/>
          </rPr>
          <t>Carolyn J. Henri:</t>
        </r>
        <r>
          <rPr>
            <sz val="8"/>
            <rFont val="Tahoma"/>
            <family val="0"/>
          </rPr>
          <t xml:space="preserve">
20 year old trees</t>
        </r>
      </text>
    </comment>
    <comment ref="O37" authorId="0">
      <text>
        <r>
          <rPr>
            <b/>
            <sz val="8"/>
            <rFont val="Tahoma"/>
            <family val="0"/>
          </rPr>
          <t>Carolyn J. Henri:</t>
        </r>
        <r>
          <rPr>
            <sz val="8"/>
            <rFont val="Tahoma"/>
            <family val="0"/>
          </rPr>
          <t xml:space="preserve">
70 yr old trees</t>
        </r>
      </text>
    </comment>
    <comment ref="Q38" authorId="0">
      <text>
        <r>
          <rPr>
            <b/>
            <sz val="8"/>
            <rFont val="Tahoma"/>
            <family val="0"/>
          </rPr>
          <t>Carolyn J. Henri:</t>
        </r>
        <r>
          <rPr>
            <sz val="8"/>
            <rFont val="Tahoma"/>
            <family val="0"/>
          </rPr>
          <t xml:space="preserve">
40 yr old
</t>
        </r>
      </text>
    </comment>
    <comment ref="V38" authorId="0">
      <text>
        <r>
          <rPr>
            <b/>
            <sz val="8"/>
            <rFont val="Tahoma"/>
            <family val="0"/>
          </rPr>
          <t>Carolyn J. Henri:</t>
        </r>
        <r>
          <rPr>
            <sz val="8"/>
            <rFont val="Tahoma"/>
            <family val="0"/>
          </rPr>
          <t xml:space="preserve">
105 yr old trees</t>
        </r>
      </text>
    </comment>
    <comment ref="O39" authorId="0">
      <text>
        <r>
          <rPr>
            <b/>
            <sz val="8"/>
            <rFont val="Tahoma"/>
            <family val="0"/>
          </rPr>
          <t>Carolyn J. Henri:</t>
        </r>
        <r>
          <rPr>
            <sz val="8"/>
            <rFont val="Tahoma"/>
            <family val="0"/>
          </rPr>
          <t xml:space="preserve">
35 yr old trees</t>
        </r>
      </text>
    </comment>
    <comment ref="U39" authorId="0">
      <text>
        <r>
          <rPr>
            <b/>
            <sz val="8"/>
            <rFont val="Tahoma"/>
            <family val="0"/>
          </rPr>
          <t>Carolyn J. Henri:</t>
        </r>
        <r>
          <rPr>
            <sz val="8"/>
            <rFont val="Tahoma"/>
            <family val="0"/>
          </rPr>
          <t xml:space="preserve">
60 yr old</t>
        </r>
      </text>
    </comment>
    <comment ref="V39" authorId="0">
      <text>
        <r>
          <rPr>
            <b/>
            <sz val="8"/>
            <rFont val="Tahoma"/>
            <family val="0"/>
          </rPr>
          <t>Carolyn J. Henri:</t>
        </r>
        <r>
          <rPr>
            <sz val="8"/>
            <rFont val="Tahoma"/>
            <family val="0"/>
          </rPr>
          <t xml:space="preserve">
Don’t let trees grow past 105 yrs</t>
        </r>
      </text>
    </comment>
    <comment ref="Q40" authorId="0">
      <text>
        <r>
          <rPr>
            <b/>
            <sz val="8"/>
            <rFont val="Tahoma"/>
            <family val="0"/>
          </rPr>
          <t>Carolyn J. Henri:</t>
        </r>
        <r>
          <rPr>
            <sz val="8"/>
            <rFont val="Tahoma"/>
            <family val="0"/>
          </rPr>
          <t xml:space="preserve">
20 yr old trees
</t>
        </r>
      </text>
    </comment>
    <comment ref="V40" authorId="0">
      <text>
        <r>
          <rPr>
            <b/>
            <sz val="8"/>
            <rFont val="Tahoma"/>
            <family val="0"/>
          </rPr>
          <t>Carolyn J. Henri:</t>
        </r>
        <r>
          <rPr>
            <sz val="8"/>
            <rFont val="Tahoma"/>
            <family val="0"/>
          </rPr>
          <t xml:space="preserve">
70 yr old trees</t>
        </r>
      </text>
    </comment>
    <comment ref="U41" authorId="0">
      <text>
        <r>
          <rPr>
            <b/>
            <sz val="8"/>
            <rFont val="Tahoma"/>
            <family val="0"/>
          </rPr>
          <t>Carolyn J. Henri:</t>
        </r>
        <r>
          <rPr>
            <sz val="8"/>
            <rFont val="Tahoma"/>
            <family val="0"/>
          </rPr>
          <t xml:space="preserve">
40 yr old trees</t>
        </r>
      </text>
    </comment>
    <comment ref="V42" authorId="0">
      <text>
        <r>
          <rPr>
            <b/>
            <sz val="8"/>
            <rFont val="Tahoma"/>
            <family val="0"/>
          </rPr>
          <t>Carolyn J. Henri:</t>
        </r>
        <r>
          <rPr>
            <sz val="8"/>
            <rFont val="Tahoma"/>
            <family val="0"/>
          </rPr>
          <t xml:space="preserve">
35 yr old trees
</t>
        </r>
      </text>
    </comment>
    <comment ref="V43" authorId="0">
      <text>
        <r>
          <rPr>
            <b/>
            <sz val="8"/>
            <rFont val="Tahoma"/>
            <family val="0"/>
          </rPr>
          <t>Carolyn J. Henri:</t>
        </r>
        <r>
          <rPr>
            <sz val="8"/>
            <rFont val="Tahoma"/>
            <family val="0"/>
          </rPr>
          <t xml:space="preserve">
Remaining stems
</t>
        </r>
      </text>
    </comment>
    <comment ref="B55" authorId="0">
      <text>
        <r>
          <rPr>
            <b/>
            <sz val="8"/>
            <rFont val="Tahoma"/>
            <family val="0"/>
          </rPr>
          <t>Carolyn J. Henri:</t>
        </r>
        <r>
          <rPr>
            <sz val="8"/>
            <rFont val="Tahoma"/>
            <family val="0"/>
          </rPr>
          <t xml:space="preserve">
The number in this cell and the ones below are transferred to  buffer # 6, Mixed Forest Buffer (Managed) in the buffer budgets worksheet. </t>
        </r>
      </text>
    </comment>
    <comment ref="B66" authorId="0">
      <text>
        <r>
          <rPr>
            <b/>
            <sz val="8"/>
            <rFont val="Tahoma"/>
            <family val="0"/>
          </rPr>
          <t>Carolyn J. Henri:</t>
        </r>
        <r>
          <rPr>
            <sz val="8"/>
            <rFont val="Tahoma"/>
            <family val="0"/>
          </rPr>
          <t xml:space="preserve">
The number in this cell and the one below are transferred to  buffer # 6, Mixed Forest Buffer (Managed) in the buffer budgets worksheet. </t>
        </r>
      </text>
    </comment>
  </commentList>
</comments>
</file>

<file path=xl/comments2.xml><?xml version="1.0" encoding="utf-8"?>
<comments xmlns="http://schemas.openxmlformats.org/spreadsheetml/2006/main">
  <authors>
    <author>Carolyn J. Henri</author>
  </authors>
  <commentList>
    <comment ref="G1" authorId="0">
      <text>
        <r>
          <rPr>
            <sz val="8"/>
            <rFont val="Tahoma"/>
            <family val="0"/>
          </rPr>
          <t xml:space="preserve">
In this column record salient points about the scenario so that  you remember what you modeled.  Save each scenario as a different file name in Excel.</t>
        </r>
      </text>
    </comment>
    <comment ref="A13" authorId="0">
      <text>
        <r>
          <rPr>
            <sz val="8"/>
            <rFont val="Tahoma"/>
            <family val="0"/>
          </rPr>
          <t xml:space="preserve">
Note this is the total cost of the buffer over all the years the buffer is in existence.  It is NOT an annual cost.</t>
        </r>
      </text>
    </comment>
    <comment ref="A14" authorId="0">
      <text>
        <r>
          <rPr>
            <sz val="8"/>
            <rFont val="Tahoma"/>
            <family val="0"/>
          </rPr>
          <t xml:space="preserve">
This is the number used to calculate the annual impact on the farm enterprise.  
See annualization table in Buffer Builder worksheet for more detail on annualization.</t>
        </r>
      </text>
    </comment>
    <comment ref="A15" authorId="0">
      <text>
        <r>
          <rPr>
            <sz val="8"/>
            <rFont val="Tahoma"/>
            <family val="0"/>
          </rPr>
          <t xml:space="preserve">
</t>
        </r>
        <r>
          <rPr>
            <sz val="10"/>
            <rFont val="Arial"/>
            <family val="2"/>
          </rPr>
          <t>Note:  This is the total net income/cost PER ACRE OF BUFFER for the entire life of the buffer, it is NOT an annual cost.</t>
        </r>
        <r>
          <rPr>
            <sz val="8"/>
            <rFont val="Tahoma"/>
            <family val="0"/>
          </rPr>
          <t xml:space="preserve">
Calculation: </t>
        </r>
        <r>
          <rPr>
            <sz val="10"/>
            <rFont val="Arial"/>
            <family val="2"/>
          </rPr>
          <t>Total net income/cost of buffer ÷</t>
        </r>
        <r>
          <rPr>
            <sz val="10"/>
            <rFont val="Tahoma"/>
            <family val="0"/>
          </rPr>
          <t xml:space="preserve"> number of acres in the buffer</t>
        </r>
      </text>
    </comment>
  </commentList>
</comments>
</file>

<file path=xl/comments3.xml><?xml version="1.0" encoding="utf-8"?>
<comments xmlns="http://schemas.openxmlformats.org/spreadsheetml/2006/main">
  <authors>
    <author>Carolyn J. Henri</author>
  </authors>
  <commentList>
    <comment ref="A87" authorId="0">
      <text>
        <r>
          <rPr>
            <b/>
            <sz val="8"/>
            <rFont val="Tahoma"/>
            <family val="0"/>
          </rPr>
          <t>Carolyn J. Henri:</t>
        </r>
        <r>
          <rPr>
            <sz val="8"/>
            <rFont val="Tahoma"/>
            <family val="0"/>
          </rPr>
          <t xml:space="preserve">
Information for this table should be obtained from the Snohomish Conservation District (in the case of CREP) or from NRCS (in the case of EQIP, WHIP, etc).  
The default tables show impacts without cost-sharing.  If you do not plan to use cost sharing resources, then place zeros in the blue column of the  last seven rows of this table.</t>
        </r>
      </text>
    </comment>
    <comment ref="C60" authorId="0">
      <text>
        <r>
          <rPr>
            <b/>
            <sz val="8"/>
            <rFont val="Tahoma"/>
            <family val="0"/>
          </rPr>
          <t>Carolyn J. Henri:</t>
        </r>
        <r>
          <rPr>
            <sz val="8"/>
            <rFont val="Tahoma"/>
            <family val="0"/>
          </rPr>
          <t xml:space="preserve">
Include only time spent on cattle production.  Do not include time spent on cropping or work time off the farm.</t>
        </r>
      </text>
    </comment>
    <comment ref="C65" authorId="0">
      <text>
        <r>
          <rPr>
            <sz val="8"/>
            <rFont val="Tahoma"/>
            <family val="0"/>
          </rPr>
          <t xml:space="preserve">
Include all acreage, whether or not it is in production.</t>
        </r>
      </text>
    </comment>
    <comment ref="D52" authorId="0">
      <text>
        <r>
          <rPr>
            <b/>
            <sz val="8"/>
            <rFont val="Tahoma"/>
            <family val="0"/>
          </rPr>
          <t>Carolyn J. Henri:</t>
        </r>
        <r>
          <rPr>
            <sz val="8"/>
            <rFont val="Tahoma"/>
            <family val="0"/>
          </rPr>
          <t xml:space="preserve">
Smathers, Robert L. James A. Church, C. Wilson Gray, Neil R. Rimbey,  University of Idaho Extension publication # EBB-CC1-02 Cow-Calf</t>
        </r>
      </text>
    </comment>
    <comment ref="C68" authorId="0">
      <text>
        <r>
          <rPr>
            <b/>
            <sz val="8"/>
            <rFont val="Tahoma"/>
            <family val="0"/>
          </rPr>
          <t>Carolyn J. Henri:</t>
        </r>
        <r>
          <rPr>
            <sz val="8"/>
            <rFont val="Tahoma"/>
            <family val="0"/>
          </rPr>
          <t xml:space="preserve">
Snohomish County Assessor's office 2003 levy rate.</t>
        </r>
      </text>
    </comment>
    <comment ref="C69" authorId="0">
      <text>
        <r>
          <rPr>
            <b/>
            <sz val="8"/>
            <rFont val="Tahoma"/>
            <family val="0"/>
          </rPr>
          <t>Carolyn J. Henri:</t>
        </r>
        <r>
          <rPr>
            <sz val="8"/>
            <rFont val="Tahoma"/>
            <family val="0"/>
          </rPr>
          <t xml:space="preserve">
Should be based on a recent capital investment loan .</t>
        </r>
      </text>
    </comment>
    <comment ref="C70" authorId="0">
      <text>
        <r>
          <rPr>
            <b/>
            <sz val="8"/>
            <rFont val="Tahoma"/>
            <family val="0"/>
          </rPr>
          <t>Carolyn J. Henri:</t>
        </r>
        <r>
          <rPr>
            <sz val="8"/>
            <rFont val="Tahoma"/>
            <family val="0"/>
          </rPr>
          <t xml:space="preserve">
Should be based on a recent agricultural line of credit rate. Even if the operating capital is owner supplied and not borrowed, there is an opportunity cost of returns forgone by investing this capital.  
</t>
        </r>
      </text>
    </comment>
    <comment ref="A7" authorId="0">
      <text>
        <r>
          <rPr>
            <b/>
            <sz val="8"/>
            <rFont val="Tahoma"/>
            <family val="0"/>
          </rPr>
          <t>Carolyn J. Henri:</t>
        </r>
        <r>
          <rPr>
            <sz val="8"/>
            <rFont val="Tahoma"/>
            <family val="0"/>
          </rPr>
          <t xml:space="preserve">
Percent calf crop = (Number of calves/number of cows wintered) X 100</t>
        </r>
      </text>
    </comment>
    <comment ref="C3" authorId="0">
      <text>
        <r>
          <rPr>
            <b/>
            <sz val="8"/>
            <rFont val="Tahoma"/>
            <family val="0"/>
          </rPr>
          <t>Carolyn J. Henri:</t>
        </r>
        <r>
          <rPr>
            <sz val="8"/>
            <rFont val="Tahoma"/>
            <family val="0"/>
          </rPr>
          <t xml:space="preserve">
Include only cows.  Do NOT include bulls and horses here.</t>
        </r>
      </text>
    </comment>
    <comment ref="C13" authorId="0">
      <text>
        <r>
          <rPr>
            <b/>
            <sz val="8"/>
            <rFont val="Tahoma"/>
            <family val="0"/>
          </rPr>
          <t>Carolyn J. Henri:</t>
        </r>
        <r>
          <rPr>
            <sz val="8"/>
            <rFont val="Tahoma"/>
            <family val="0"/>
          </rPr>
          <t xml:space="preserve">
If you replace your bulls every four years, the number 4 would go here.</t>
        </r>
      </text>
    </comment>
    <comment ref="C14" authorId="0">
      <text>
        <r>
          <rPr>
            <b/>
            <sz val="8"/>
            <rFont val="Tahoma"/>
            <family val="0"/>
          </rPr>
          <t>Carolyn J. Henri:</t>
        </r>
        <r>
          <rPr>
            <sz val="8"/>
            <rFont val="Tahoma"/>
            <family val="0"/>
          </rPr>
          <t xml:space="preserve">
Enter 0 of no horses are used in the livestock enterprise.</t>
        </r>
      </text>
    </comment>
    <comment ref="A16" authorId="0">
      <text>
        <r>
          <rPr>
            <sz val="8"/>
            <rFont val="Tahoma"/>
            <family val="0"/>
          </rPr>
          <t xml:space="preserve">
This flow chart represents the annual flow of animals through the herd each year.  It should be read left to right.   Fill in the boxes with the appropriate numbers for your herd from the Herd Annual Flow table below.  The blue boxes represent animals that stay in the herd.  The red boxes are animals that leave the herd due to sale or death.  </t>
        </r>
      </text>
    </comment>
    <comment ref="A32" authorId="0">
      <text>
        <r>
          <rPr>
            <b/>
            <sz val="8"/>
            <rFont val="Tahoma"/>
            <family val="0"/>
          </rPr>
          <t>Carolyn J. Henri:</t>
        </r>
        <r>
          <rPr>
            <sz val="8"/>
            <rFont val="Tahoma"/>
            <family val="0"/>
          </rPr>
          <t xml:space="preserve">
Numbers in this table should come from flow chart above.  Numbers in this table are used to calculate feed requirements in the Livestock Receipts and Feed Requirements worksheet.
</t>
        </r>
      </text>
    </comment>
    <comment ref="C59" authorId="0">
      <text>
        <r>
          <rPr>
            <sz val="8"/>
            <rFont val="Tahoma"/>
            <family val="0"/>
          </rPr>
          <t xml:space="preserve">
Enter a percentage of total beef sales.
</t>
        </r>
      </text>
    </comment>
    <comment ref="C5" authorId="0">
      <text>
        <r>
          <rPr>
            <sz val="8"/>
            <rFont val="Tahoma"/>
            <family val="0"/>
          </rPr>
          <t xml:space="preserve">
Use this percentage and the ones that follow to calculate your herd flow in the diagram below.</t>
        </r>
      </text>
    </comment>
    <comment ref="C80" authorId="0">
      <text>
        <r>
          <rPr>
            <sz val="8"/>
            <rFont val="Tahoma"/>
            <family val="0"/>
          </rPr>
          <t xml:space="preserve">
PLEASE NOTE:  If you place a one in this cell, you must complete the last worksheet in this workbook, titled "Buffer Harvest Sched".  If you do not, the calculations for the harvested buffer will be incorrect.</t>
        </r>
      </text>
    </comment>
    <comment ref="C76" authorId="0">
      <text>
        <r>
          <rPr>
            <b/>
            <sz val="8"/>
            <rFont val="Tahoma"/>
            <family val="0"/>
          </rPr>
          <t>Carolyn J. Henri:</t>
        </r>
        <r>
          <rPr>
            <sz val="8"/>
            <rFont val="Tahoma"/>
            <family val="0"/>
          </rPr>
          <t xml:space="preserve">
Estimated on the low side, given the poor soil conditions of most upland beef cattle farms.</t>
        </r>
      </text>
    </comment>
  </commentList>
</comments>
</file>

<file path=xl/comments4.xml><?xml version="1.0" encoding="utf-8"?>
<comments xmlns="http://schemas.openxmlformats.org/spreadsheetml/2006/main">
  <authors>
    <author>Carolyn J. Henri</author>
  </authors>
  <commentList>
    <comment ref="C41" authorId="0">
      <text>
        <r>
          <rPr>
            <b/>
            <sz val="8"/>
            <rFont val="Tahoma"/>
            <family val="0"/>
          </rPr>
          <t>Carolyn J. Henri:</t>
        </r>
        <r>
          <rPr>
            <sz val="8"/>
            <rFont val="Tahoma"/>
            <family val="0"/>
          </rPr>
          <t xml:space="preserve">
Enter the cost per acre PER mowing episode.  </t>
        </r>
      </text>
    </comment>
    <comment ref="C42" authorId="0">
      <text>
        <r>
          <rPr>
            <sz val="8"/>
            <rFont val="Tahoma"/>
            <family val="0"/>
          </rPr>
          <t xml:space="preserve">
Enter the weeding cost per acre PER year.  $350.00 per acre per year represents the mid- to lower range of many estimates.  Exact costs will vary from site to site depending on buffer access and content, and materials and equipment permitted in the riparian area.  For example, a backpack spray application of herbicide three times a year would be much more costly than this estimate, while machine mowing would be much cheaper.     
</t>
        </r>
      </text>
    </comment>
    <comment ref="C14" authorId="0">
      <text>
        <r>
          <rPr>
            <b/>
            <sz val="8"/>
            <rFont val="Tahoma"/>
            <family val="0"/>
          </rPr>
          <t>Carolyn J. Henri:</t>
        </r>
        <r>
          <rPr>
            <sz val="8"/>
            <rFont val="Tahoma"/>
            <family val="0"/>
          </rPr>
          <t xml:space="preserve">
Sale Price
</t>
        </r>
      </text>
    </comment>
    <comment ref="C15" authorId="0">
      <text>
        <r>
          <rPr>
            <b/>
            <sz val="8"/>
            <rFont val="Tahoma"/>
            <family val="0"/>
          </rPr>
          <t>Carolyn J. Henri:</t>
        </r>
        <r>
          <rPr>
            <sz val="8"/>
            <rFont val="Tahoma"/>
            <family val="0"/>
          </rPr>
          <t xml:space="preserve">
Sale Price</t>
        </r>
      </text>
    </comment>
    <comment ref="C16" authorId="0">
      <text>
        <r>
          <rPr>
            <b/>
            <sz val="8"/>
            <rFont val="Tahoma"/>
            <family val="0"/>
          </rPr>
          <t>Carolyn J. Henri:</t>
        </r>
        <r>
          <rPr>
            <sz val="8"/>
            <rFont val="Tahoma"/>
            <family val="0"/>
          </rPr>
          <t xml:space="preserve">
Sale Price</t>
        </r>
      </text>
    </comment>
    <comment ref="C17" authorId="0">
      <text>
        <r>
          <rPr>
            <b/>
            <sz val="8"/>
            <rFont val="Tahoma"/>
            <family val="0"/>
          </rPr>
          <t>Carolyn J. Henri:</t>
        </r>
        <r>
          <rPr>
            <sz val="8"/>
            <rFont val="Tahoma"/>
            <family val="0"/>
          </rPr>
          <t xml:space="preserve">
Sale Price</t>
        </r>
      </text>
    </comment>
    <comment ref="C18" authorId="0">
      <text>
        <r>
          <rPr>
            <b/>
            <sz val="8"/>
            <rFont val="Tahoma"/>
            <family val="0"/>
          </rPr>
          <t>Carolyn J. Henri:</t>
        </r>
        <r>
          <rPr>
            <sz val="8"/>
            <rFont val="Tahoma"/>
            <family val="0"/>
          </rPr>
          <t xml:space="preserve">
Sale Price</t>
        </r>
      </text>
    </comment>
    <comment ref="C19" authorId="0">
      <text>
        <r>
          <rPr>
            <b/>
            <sz val="8"/>
            <rFont val="Tahoma"/>
            <family val="0"/>
          </rPr>
          <t>Carolyn J. Henri:</t>
        </r>
        <r>
          <rPr>
            <sz val="8"/>
            <rFont val="Tahoma"/>
            <family val="0"/>
          </rPr>
          <t xml:space="preserve">
Purchase price.</t>
        </r>
      </text>
    </comment>
    <comment ref="C20" authorId="0">
      <text>
        <r>
          <rPr>
            <b/>
            <sz val="8"/>
            <rFont val="Tahoma"/>
            <family val="0"/>
          </rPr>
          <t>Carolyn J. Henri:</t>
        </r>
        <r>
          <rPr>
            <sz val="8"/>
            <rFont val="Tahoma"/>
            <family val="0"/>
          </rPr>
          <t xml:space="preserve">
Purchase price</t>
        </r>
      </text>
    </comment>
    <comment ref="A23" authorId="0">
      <text>
        <r>
          <rPr>
            <b/>
            <sz val="8"/>
            <rFont val="Tahoma"/>
            <family val="0"/>
          </rPr>
          <t>Carolyn J. Henri:</t>
        </r>
        <r>
          <rPr>
            <sz val="8"/>
            <rFont val="Tahoma"/>
            <family val="0"/>
          </rPr>
          <t xml:space="preserve">
The commission pertains to cull animals only since they are sold through a sales yard.  Other animals are sold direct.</t>
        </r>
      </text>
    </comment>
    <comment ref="C12" authorId="0">
      <text>
        <r>
          <rPr>
            <sz val="8"/>
            <rFont val="Tahoma"/>
            <family val="0"/>
          </rPr>
          <t xml:space="preserve">
Enter price you receive for your silage.  If you do not sell your silage, enter the current market price for silage (what you would have to pay if you bought it).  Do not include transportation costs.</t>
        </r>
      </text>
    </comment>
    <comment ref="A51" authorId="0">
      <text>
        <r>
          <rPr>
            <b/>
            <sz val="8"/>
            <rFont val="Tahoma"/>
            <family val="0"/>
          </rPr>
          <t>Carolyn J. Henri:</t>
        </r>
        <r>
          <rPr>
            <sz val="8"/>
            <rFont val="Tahoma"/>
            <family val="0"/>
          </rPr>
          <t xml:space="preserve">
Timber prices are estimates only and should be replaced with real quotes, if available.  The default prices are averages taken from Log Lines (April 2003), a timber price publication for Washington State.
The issue used for these calculations is reproduced at the bottom of this spread sheet.</t>
        </r>
      </text>
    </comment>
    <comment ref="C46" authorId="0">
      <text>
        <r>
          <rPr>
            <sz val="8"/>
            <rFont val="Tahoma"/>
            <family val="0"/>
          </rPr>
          <t xml:space="preserve">
Cost includes loading it on truck.  </t>
        </r>
      </text>
    </comment>
    <comment ref="C29" authorId="0">
      <text>
        <r>
          <rPr>
            <sz val="8"/>
            <rFont val="Tahoma"/>
            <family val="0"/>
          </rPr>
          <t xml:space="preserve">
Check with Farm Service Agency for rental rate on your soil type.  Rates differ widely and in general are less for grazing land than for prime crop land due to poorer soil quality.</t>
        </r>
      </text>
    </comment>
  </commentList>
</comments>
</file>

<file path=xl/comments5.xml><?xml version="1.0" encoding="utf-8"?>
<comments xmlns="http://schemas.openxmlformats.org/spreadsheetml/2006/main">
  <authors>
    <author>Bart Eleveld</author>
    <author>Carolyn J. Henri</author>
  </authors>
  <commentList>
    <comment ref="A13" authorId="0">
      <text>
        <r>
          <rPr>
            <b/>
            <sz val="10"/>
            <rFont val="Tahoma"/>
            <family val="0"/>
          </rPr>
          <t>Enter the number of market animals produced per month.  The default budget auto calculates based on assumptions you have entered in the "Farm and Buffer Assumptions" worksheet.   You can revise this table to reflect your management.</t>
        </r>
      </text>
    </comment>
    <comment ref="C2" authorId="1">
      <text>
        <r>
          <rPr>
            <b/>
            <sz val="8"/>
            <rFont val="Tahoma"/>
            <family val="0"/>
          </rPr>
          <t>Carolyn J. Henri:</t>
        </r>
        <r>
          <rPr>
            <sz val="8"/>
            <rFont val="Tahoma"/>
            <family val="0"/>
          </rPr>
          <t xml:space="preserve">
Numbers in this column should not be modified here.  They can be modified on the Farm and Buffer Assumptions worksheet.</t>
        </r>
      </text>
    </comment>
    <comment ref="D2" authorId="1">
      <text>
        <r>
          <rPr>
            <b/>
            <sz val="8"/>
            <rFont val="Tahoma"/>
            <family val="0"/>
          </rPr>
          <t>Carolyn J. Henri:</t>
        </r>
        <r>
          <rPr>
            <sz val="8"/>
            <rFont val="Tahoma"/>
            <family val="0"/>
          </rPr>
          <t xml:space="preserve">
Prices in this column should not be modified here.  They can be modified on the Prices worksheet.</t>
        </r>
      </text>
    </comment>
    <comment ref="E2" authorId="1">
      <text>
        <r>
          <rPr>
            <b/>
            <sz val="8"/>
            <rFont val="Tahoma"/>
            <family val="0"/>
          </rPr>
          <t>Carolyn J. Henri:</t>
        </r>
        <r>
          <rPr>
            <sz val="8"/>
            <rFont val="Tahoma"/>
            <family val="0"/>
          </rPr>
          <t xml:space="preserve">
This column calculates automatically based on your inputs in the Monthly Allocation Table below.  Do not enter numbers directly in this column.</t>
        </r>
      </text>
    </comment>
    <comment ref="Q26" authorId="1">
      <text>
        <r>
          <rPr>
            <b/>
            <sz val="8"/>
            <rFont val="Tahoma"/>
            <family val="0"/>
          </rPr>
          <t>Carolyn J. Henri:</t>
        </r>
        <r>
          <rPr>
            <sz val="8"/>
            <rFont val="Tahoma"/>
            <family val="0"/>
          </rPr>
          <t xml:space="preserve">
Equation =
# of animals x daily feed per animal x number of days ÷ 100</t>
        </r>
      </text>
    </comment>
    <comment ref="Q28" authorId="1">
      <text>
        <r>
          <rPr>
            <b/>
            <sz val="8"/>
            <rFont val="Tahoma"/>
            <family val="0"/>
          </rPr>
          <t>Carolyn J. Henri:</t>
        </r>
        <r>
          <rPr>
            <sz val="8"/>
            <rFont val="Tahoma"/>
            <family val="0"/>
          </rPr>
          <t xml:space="preserve">
Equation =
# of animals x lbs daily feed per animal x number of days ÷ 2000 lbs per ton.
</t>
        </r>
      </text>
    </comment>
    <comment ref="F2" authorId="1">
      <text>
        <r>
          <rPr>
            <b/>
            <sz val="8"/>
            <rFont val="Tahoma"/>
            <family val="0"/>
          </rPr>
          <t>Carolyn J. Henri:</t>
        </r>
        <r>
          <rPr>
            <sz val="8"/>
            <rFont val="Tahoma"/>
            <family val="0"/>
          </rPr>
          <t xml:space="preserve">
This column auto calculates based on information in the table.  </t>
        </r>
      </text>
    </comment>
    <comment ref="A24" authorId="1">
      <text>
        <r>
          <rPr>
            <sz val="8"/>
            <rFont val="Tahoma"/>
            <family val="0"/>
          </rPr>
          <t xml:space="preserve">
This table uses the feeding schedule detailed in Smathers, 2002.  Change the blue numbers to reflect your feeding schedule.  Do not change the last column.</t>
        </r>
      </text>
    </comment>
  </commentList>
</comments>
</file>

<file path=xl/comments6.xml><?xml version="1.0" encoding="utf-8"?>
<comments xmlns="http://schemas.openxmlformats.org/spreadsheetml/2006/main">
  <authors>
    <author>carolyn henri</author>
    <author>Carolyn J. Henri</author>
  </authors>
  <commentList>
    <comment ref="I4" authorId="0">
      <text>
        <r>
          <rPr>
            <b/>
            <sz val="8"/>
            <rFont val="Tahoma"/>
            <family val="0"/>
          </rPr>
          <t xml:space="preserve">Carolyn henrys:
Capital recovery includes depreciation and interest (opportunity cost), and is calculated using the appropriate equation from the AAEA Commodity Costs and Returns Handbook.
</t>
        </r>
        <r>
          <rPr>
            <b/>
            <u val="single"/>
            <sz val="8"/>
            <rFont val="Tahoma"/>
            <family val="2"/>
          </rPr>
          <t>(Purchase Price - Salvage Value) x interest rate</t>
        </r>
        <r>
          <rPr>
            <b/>
            <sz val="8"/>
            <rFont val="Tahoma"/>
            <family val="2"/>
          </rPr>
          <t xml:space="preserve">    + Salvage Value x interest rate
1 - (1+ interest rate)</t>
        </r>
        <r>
          <rPr>
            <b/>
            <vertAlign val="superscript"/>
            <sz val="10"/>
            <rFont val="Tahoma"/>
            <family val="2"/>
          </rPr>
          <t>-n</t>
        </r>
      </text>
    </comment>
    <comment ref="F4" authorId="0">
      <text>
        <r>
          <rPr>
            <b/>
            <sz val="8"/>
            <rFont val="Tahoma"/>
            <family val="0"/>
          </rPr>
          <t xml:space="preserve">Carolyn henrys:
Taxes = Market Value x Property Tax Rate (from Assumptions worksheet)
</t>
        </r>
      </text>
    </comment>
    <comment ref="C4" authorId="0">
      <text>
        <r>
          <rPr>
            <b/>
            <sz val="8"/>
            <rFont val="Tahoma"/>
            <family val="0"/>
          </rPr>
          <t>Carolyn Henri:
MV= (Purchase Price + Salvage Value)/2</t>
        </r>
      </text>
    </comment>
    <comment ref="D23" authorId="1">
      <text>
        <r>
          <rPr>
            <b/>
            <sz val="8"/>
            <rFont val="Tahoma"/>
            <family val="0"/>
          </rPr>
          <t>Carolyn J. Henri:</t>
        </r>
        <r>
          <rPr>
            <sz val="8"/>
            <rFont val="Tahoma"/>
            <family val="0"/>
          </rPr>
          <t xml:space="preserve">
Enter the expected market value of the animals at the end of their depreciable life.  For livestock this may be the cull slaughter value.</t>
        </r>
      </text>
    </comment>
    <comment ref="G4" authorId="1">
      <text>
        <r>
          <rPr>
            <b/>
            <sz val="8"/>
            <rFont val="Tahoma"/>
            <family val="0"/>
          </rPr>
          <t>Carolyn J. Henri:</t>
        </r>
        <r>
          <rPr>
            <sz val="8"/>
            <rFont val="Tahoma"/>
            <family val="0"/>
          </rPr>
          <t xml:space="preserve">
Annual insurance expense = Market Value x Insurance rate indicated in farm assumptions worksheet</t>
        </r>
      </text>
    </comment>
    <comment ref="H4" authorId="1">
      <text>
        <r>
          <rPr>
            <b/>
            <sz val="8"/>
            <rFont val="Tahoma"/>
            <family val="0"/>
          </rPr>
          <t>Carolyn J. Henri:</t>
        </r>
        <r>
          <rPr>
            <sz val="8"/>
            <rFont val="Tahoma"/>
            <family val="0"/>
          </rPr>
          <t xml:space="preserve">
Cost associated with ownership and use of a machine shed.  Housing = Market Value x housing factor from Table 2 in Smathers, 2001.</t>
        </r>
      </text>
    </comment>
    <comment ref="A1" authorId="1">
      <text>
        <r>
          <rPr>
            <b/>
            <sz val="8"/>
            <rFont val="Tahoma"/>
            <family val="0"/>
          </rPr>
          <t>Carolyn J. Henri:</t>
        </r>
        <r>
          <rPr>
            <sz val="8"/>
            <rFont val="Tahoma"/>
            <family val="0"/>
          </rPr>
          <t xml:space="preserve">
This investment budget is compiled from several sources, including Oregon State, Idaho State cow-calf budgets.  It should be modified to reflect your specific operation.</t>
        </r>
      </text>
    </comment>
    <comment ref="D24" authorId="1">
      <text>
        <r>
          <rPr>
            <b/>
            <sz val="8"/>
            <rFont val="Tahoma"/>
            <family val="0"/>
          </rPr>
          <t>Carolyn J. Henri:</t>
        </r>
        <r>
          <rPr>
            <sz val="8"/>
            <rFont val="Tahoma"/>
            <family val="0"/>
          </rPr>
          <t xml:space="preserve">
A salvage value of 600 per horse is used for this exercise.  You can replace this number by replacing the 600 in this cell with some other number.</t>
        </r>
      </text>
    </comment>
    <comment ref="B30" authorId="1">
      <text>
        <r>
          <rPr>
            <b/>
            <sz val="8"/>
            <rFont val="Tahoma"/>
            <family val="0"/>
          </rPr>
          <t>Carolyn J. Henri:</t>
        </r>
        <r>
          <rPr>
            <sz val="8"/>
            <rFont val="Tahoma"/>
            <family val="0"/>
          </rPr>
          <t xml:space="preserve">
Enter the approximate market value of the animals when they enter productive service.</t>
        </r>
      </text>
    </comment>
    <comment ref="I30" authorId="1">
      <text>
        <r>
          <rPr>
            <b/>
            <sz val="8"/>
            <rFont val="Tahoma"/>
            <family val="0"/>
          </rPr>
          <t>Carolyn J. Henri:</t>
        </r>
        <r>
          <rPr>
            <sz val="8"/>
            <rFont val="Tahoma"/>
            <family val="0"/>
          </rPr>
          <t xml:space="preserve">
Retained livestock is not depreciated.  Interest on investment is calculated as the average market value of the retained livestock over its useful life X the interest rate, plus the salvage value X the interest rate.  </t>
        </r>
      </text>
    </comment>
    <comment ref="I31" authorId="1">
      <text>
        <r>
          <rPr>
            <b/>
            <sz val="8"/>
            <rFont val="Tahoma"/>
            <family val="0"/>
          </rPr>
          <t>Carolyn J. Henri:</t>
        </r>
        <r>
          <rPr>
            <sz val="8"/>
            <rFont val="Tahoma"/>
            <family val="0"/>
          </rPr>
          <t xml:space="preserve">
Retained livestock is not depreciated.  Interest on investment is calculated as the average market value of the retained livestock over its useful life X the interest rate, plus the salvage value X the interest rate.  </t>
        </r>
      </text>
    </comment>
    <comment ref="D38" authorId="1">
      <text>
        <r>
          <rPr>
            <b/>
            <sz val="8"/>
            <rFont val="Tahoma"/>
            <family val="0"/>
          </rPr>
          <t>Carolyn J. Henri:</t>
        </r>
        <r>
          <rPr>
            <sz val="8"/>
            <rFont val="Tahoma"/>
            <family val="0"/>
          </rPr>
          <t xml:space="preserve">
Decimals represent % residual value at the end of the machine's life and are from Smathers, 2001.</t>
        </r>
      </text>
    </comment>
    <comment ref="H38" authorId="1">
      <text>
        <r>
          <rPr>
            <b/>
            <sz val="8"/>
            <rFont val="Tahoma"/>
            <family val="0"/>
          </rPr>
          <t>Carolyn J. Henri:</t>
        </r>
        <r>
          <rPr>
            <sz val="8"/>
            <rFont val="Tahoma"/>
            <family val="0"/>
          </rPr>
          <t xml:space="preserve">
Decimal represents % of machine value charged to housing.  These figures come from Smathers, 2000.</t>
        </r>
      </text>
    </comment>
    <comment ref="K2" authorId="1">
      <text>
        <r>
          <rPr>
            <b/>
            <sz val="8"/>
            <rFont val="Tahoma"/>
            <family val="0"/>
          </rPr>
          <t>Carolyn J. Henri:</t>
        </r>
        <r>
          <rPr>
            <sz val="8"/>
            <rFont val="Tahoma"/>
            <family val="0"/>
          </rPr>
          <t xml:space="preserve">
These are annual fixed costs to operate the equipment on the farm.  Not all of this cost is allocated to one enterprise, but is spread among the enterprises in which the machine or equipment is used.</t>
        </r>
      </text>
    </comment>
    <comment ref="K4" authorId="0">
      <text>
        <r>
          <rPr>
            <b/>
            <sz val="8"/>
            <rFont val="Tahoma"/>
            <family val="0"/>
          </rPr>
          <t xml:space="preserve">Carolyn henrys:
Taxes = Market Value x Property Tax Rate (from Assumptions worksheet)
</t>
        </r>
      </text>
    </comment>
    <comment ref="L4" authorId="1">
      <text>
        <r>
          <rPr>
            <b/>
            <sz val="8"/>
            <rFont val="Tahoma"/>
            <family val="0"/>
          </rPr>
          <t>Carolyn J. Henri:</t>
        </r>
        <r>
          <rPr>
            <sz val="8"/>
            <rFont val="Tahoma"/>
            <family val="0"/>
          </rPr>
          <t xml:space="preserve">
Annual insurance expense = Market Value x Insurance rate indicated in farm assumptions worksheet</t>
        </r>
      </text>
    </comment>
    <comment ref="M4" authorId="1">
      <text>
        <r>
          <rPr>
            <b/>
            <sz val="8"/>
            <rFont val="Tahoma"/>
            <family val="0"/>
          </rPr>
          <t>Carolyn J. Henri:</t>
        </r>
        <r>
          <rPr>
            <sz val="8"/>
            <rFont val="Tahoma"/>
            <family val="0"/>
          </rPr>
          <t xml:space="preserve">
Cost associated with ownership and use of a machine shed.  Housing = Market Value x housing factor from Table 2 in Smathers, 2001.</t>
        </r>
      </text>
    </comment>
    <comment ref="N4" authorId="0">
      <text>
        <r>
          <rPr>
            <b/>
            <sz val="8"/>
            <rFont val="Tahoma"/>
            <family val="0"/>
          </rPr>
          <t xml:space="preserve">Carolyn henri:
Capital recovery includes depreciation and interest (opportunity cost), and is calculated using the appropriate equation from the AAEA Commodity Costs and Returns Handbook.
</t>
        </r>
        <r>
          <rPr>
            <b/>
            <u val="single"/>
            <sz val="8"/>
            <rFont val="Tahoma"/>
            <family val="2"/>
          </rPr>
          <t>(Purchase Price - Salvage Value) x interest rate</t>
        </r>
        <r>
          <rPr>
            <b/>
            <sz val="8"/>
            <rFont val="Tahoma"/>
            <family val="2"/>
          </rPr>
          <t xml:space="preserve">    + Salvage Value x interest rate
1 - (1+ interest rate)</t>
        </r>
        <r>
          <rPr>
            <b/>
            <vertAlign val="superscript"/>
            <sz val="10"/>
            <rFont val="Tahoma"/>
            <family val="2"/>
          </rPr>
          <t>-n</t>
        </r>
      </text>
    </comment>
    <comment ref="K45" authorId="1">
      <text>
        <r>
          <rPr>
            <b/>
            <sz val="8"/>
            <rFont val="Tahoma"/>
            <family val="0"/>
          </rPr>
          <t>Carolyn J. Henri:</t>
        </r>
        <r>
          <rPr>
            <sz val="8"/>
            <rFont val="Tahoma"/>
            <family val="0"/>
          </rPr>
          <t xml:space="preserve">
Land tax calculation: # of acres X assessed value per acre x county property tax rate.</t>
        </r>
      </text>
    </comment>
    <comment ref="B52" authorId="1">
      <text>
        <r>
          <rPr>
            <b/>
            <sz val="8"/>
            <rFont val="Tahoma"/>
            <family val="0"/>
          </rPr>
          <t>Carolyn J. Henri:</t>
        </r>
        <r>
          <rPr>
            <sz val="8"/>
            <rFont val="Tahoma"/>
            <family val="0"/>
          </rPr>
          <t xml:space="preserve">
How many hours will the machine or vehicle be used per year (in all enterprises)?</t>
        </r>
      </text>
    </comment>
    <comment ref="E52" authorId="1">
      <text>
        <r>
          <rPr>
            <b/>
            <sz val="8"/>
            <rFont val="Tahoma"/>
            <family val="0"/>
          </rPr>
          <t>Carolyn J. Henri:</t>
        </r>
        <r>
          <rPr>
            <sz val="8"/>
            <rFont val="Tahoma"/>
            <family val="0"/>
          </rPr>
          <t xml:space="preserve">
Fuel consumption calculation comes from Smathers, 2001, pg. 5 (See full reference at bottom of spreadsheet).  Lubrication is estimated at 15% of fuel costs (also from Smathers, 2001).</t>
        </r>
      </text>
    </comment>
    <comment ref="C36" authorId="0">
      <text>
        <r>
          <rPr>
            <b/>
            <sz val="8"/>
            <rFont val="Tahoma"/>
            <family val="0"/>
          </rPr>
          <t>Carolyn henri:
MV= (Purchase Price + Salvage Value)/2</t>
        </r>
      </text>
    </comment>
    <comment ref="F36" authorId="0">
      <text>
        <r>
          <rPr>
            <b/>
            <sz val="8"/>
            <rFont val="Tahoma"/>
            <family val="0"/>
          </rPr>
          <t xml:space="preserve">Carolyn henri:
Taxes = Market Value x Property Tax Rate (from Assumptions worksheet)
</t>
        </r>
      </text>
    </comment>
    <comment ref="G36" authorId="1">
      <text>
        <r>
          <rPr>
            <b/>
            <sz val="8"/>
            <rFont val="Tahoma"/>
            <family val="0"/>
          </rPr>
          <t>Carolyn J. Henri:</t>
        </r>
        <r>
          <rPr>
            <sz val="8"/>
            <rFont val="Tahoma"/>
            <family val="0"/>
          </rPr>
          <t xml:space="preserve">
Annual insurance expense = Market Value x Insurance rate indicated in farm assumptions worksheet</t>
        </r>
      </text>
    </comment>
    <comment ref="H36" authorId="1">
      <text>
        <r>
          <rPr>
            <b/>
            <sz val="8"/>
            <rFont val="Tahoma"/>
            <family val="0"/>
          </rPr>
          <t>Carolyn J. Henri:</t>
        </r>
        <r>
          <rPr>
            <sz val="8"/>
            <rFont val="Tahoma"/>
            <family val="0"/>
          </rPr>
          <t xml:space="preserve">
Cost associated with ownership and use of a machine shed.  Housing = Market Value x housing factor from Table 2 in Smathers, 2001.</t>
        </r>
      </text>
    </comment>
    <comment ref="I36" authorId="0">
      <text>
        <r>
          <rPr>
            <b/>
            <sz val="8"/>
            <rFont val="Tahoma"/>
            <family val="0"/>
          </rPr>
          <t xml:space="preserve">Carolyn henri:
Capital recovery includes depreciation and interest (opportunity cost), and is calculated using the appropriate equation from the AAEA Commodity Costs and Returns Handbook.
</t>
        </r>
        <r>
          <rPr>
            <b/>
            <u val="single"/>
            <sz val="8"/>
            <rFont val="Tahoma"/>
            <family val="2"/>
          </rPr>
          <t>(Purchase Price - Salvage Value) x interest rate</t>
        </r>
        <r>
          <rPr>
            <b/>
            <sz val="8"/>
            <rFont val="Tahoma"/>
            <family val="2"/>
          </rPr>
          <t xml:space="preserve">    + Salvage Value x interest rate
1 - (1+ interest rate)</t>
        </r>
        <r>
          <rPr>
            <b/>
            <vertAlign val="superscript"/>
            <sz val="10"/>
            <rFont val="Tahoma"/>
            <family val="2"/>
          </rPr>
          <t>-n</t>
        </r>
      </text>
    </comment>
    <comment ref="K36" authorId="0">
      <text>
        <r>
          <rPr>
            <b/>
            <sz val="8"/>
            <rFont val="Tahoma"/>
            <family val="0"/>
          </rPr>
          <t xml:space="preserve">Carolyn henri:
Taxes = Market Value x Property Tax Rate (from Assumptions worksheet)
</t>
        </r>
      </text>
    </comment>
    <comment ref="L36" authorId="1">
      <text>
        <r>
          <rPr>
            <b/>
            <sz val="8"/>
            <rFont val="Tahoma"/>
            <family val="0"/>
          </rPr>
          <t>Carolyn J. Henri:</t>
        </r>
        <r>
          <rPr>
            <sz val="8"/>
            <rFont val="Tahoma"/>
            <family val="0"/>
          </rPr>
          <t xml:space="preserve">
Annual insurance expense = Market Value x Insurance rate indicated in farm assumptions worksheet</t>
        </r>
      </text>
    </comment>
    <comment ref="M36" authorId="1">
      <text>
        <r>
          <rPr>
            <b/>
            <sz val="8"/>
            <rFont val="Tahoma"/>
            <family val="0"/>
          </rPr>
          <t>Carolyn J. Henri:</t>
        </r>
        <r>
          <rPr>
            <sz val="8"/>
            <rFont val="Tahoma"/>
            <family val="0"/>
          </rPr>
          <t xml:space="preserve">
Cost associated with ownership and use of a machine shed.  Housing = Market Value x housing factor from Table 2 in Smathers, 2001.</t>
        </r>
      </text>
    </comment>
    <comment ref="N36" authorId="0">
      <text>
        <r>
          <rPr>
            <b/>
            <sz val="8"/>
            <rFont val="Tahoma"/>
            <family val="0"/>
          </rPr>
          <t xml:space="preserve">Carolyn henri:
Capital recovery includes depreciation and interest (opportunity cost), and is calculated using the appropriate equation from the AAEA Commodity Costs and Returns Handbook.
</t>
        </r>
        <r>
          <rPr>
            <b/>
            <u val="single"/>
            <sz val="8"/>
            <rFont val="Tahoma"/>
            <family val="2"/>
          </rPr>
          <t>(Purchase Price - Salvage Value) x interest rate</t>
        </r>
        <r>
          <rPr>
            <b/>
            <sz val="8"/>
            <rFont val="Tahoma"/>
            <family val="2"/>
          </rPr>
          <t xml:space="preserve">    + Salvage Value x interest rate
1 - (1+ interest rate)</t>
        </r>
        <r>
          <rPr>
            <b/>
            <vertAlign val="superscript"/>
            <sz val="10"/>
            <rFont val="Tahoma"/>
            <family val="2"/>
          </rPr>
          <t>-n</t>
        </r>
      </text>
    </comment>
    <comment ref="B45" authorId="1">
      <text>
        <r>
          <rPr>
            <sz val="8"/>
            <rFont val="Tahoma"/>
            <family val="0"/>
          </rPr>
          <t xml:space="preserve">
Enter the purchase price of your property</t>
        </r>
      </text>
    </comment>
    <comment ref="C45" authorId="1">
      <text>
        <r>
          <rPr>
            <sz val="8"/>
            <rFont val="Tahoma"/>
            <family val="0"/>
          </rPr>
          <t xml:space="preserve">
This is market value AS agricultural land, not as developable land</t>
        </r>
      </text>
    </comment>
    <comment ref="D39" authorId="1">
      <text>
        <r>
          <rPr>
            <b/>
            <sz val="8"/>
            <rFont val="Tahoma"/>
            <family val="0"/>
          </rPr>
          <t>Carolyn J. Henri:</t>
        </r>
        <r>
          <rPr>
            <sz val="8"/>
            <rFont val="Tahoma"/>
            <family val="0"/>
          </rPr>
          <t xml:space="preserve">
Decimals represent % residual value at the end of the machine's life and are from Smathers, 2001.</t>
        </r>
      </text>
    </comment>
    <comment ref="H39" authorId="1">
      <text>
        <r>
          <rPr>
            <b/>
            <sz val="8"/>
            <rFont val="Tahoma"/>
            <family val="0"/>
          </rPr>
          <t>Carolyn J. Henri:</t>
        </r>
        <r>
          <rPr>
            <sz val="8"/>
            <rFont val="Tahoma"/>
            <family val="0"/>
          </rPr>
          <t xml:space="preserve">
Decimal represents % of machine value charged to housing.  These figures come from Smathers, 2000.</t>
        </r>
      </text>
    </comment>
  </commentList>
</comments>
</file>

<file path=xl/comments7.xml><?xml version="1.0" encoding="utf-8"?>
<comments xmlns="http://schemas.openxmlformats.org/spreadsheetml/2006/main">
  <authors>
    <author>Carolyn J. Henri</author>
  </authors>
  <commentList>
    <comment ref="E41" authorId="0">
      <text>
        <r>
          <rPr>
            <b/>
            <sz val="8"/>
            <rFont val="Tahoma"/>
            <family val="0"/>
          </rPr>
          <t>Carolyn J. Henri:</t>
        </r>
        <r>
          <rPr>
            <sz val="8"/>
            <rFont val="Tahoma"/>
            <family val="0"/>
          </rPr>
          <t xml:space="preserve">
Property tax on buildings and equipment is calculated on the Equipment and Investment worksheet.  It is calculated using the following equation: Taxes = Market Value x Property Tax Rate (from Assumptions worksheet).
 Land tax calculation: # of acres X </t>
        </r>
        <r>
          <rPr>
            <i/>
            <sz val="8"/>
            <rFont val="Tahoma"/>
            <family val="2"/>
          </rPr>
          <t>assessed</t>
        </r>
        <r>
          <rPr>
            <sz val="8"/>
            <rFont val="Tahoma"/>
            <family val="0"/>
          </rPr>
          <t xml:space="preserve"> value per acre x county property tax rate.</t>
        </r>
      </text>
    </comment>
    <comment ref="E43" authorId="0">
      <text>
        <r>
          <rPr>
            <b/>
            <sz val="8"/>
            <rFont val="Tahoma"/>
            <family val="0"/>
          </rPr>
          <t>Carolyn J. Henri:</t>
        </r>
        <r>
          <rPr>
            <sz val="8"/>
            <rFont val="Tahoma"/>
            <family val="0"/>
          </rPr>
          <t xml:space="preserve">
This is in addition to property tax. </t>
        </r>
      </text>
    </comment>
    <comment ref="A46" authorId="0">
      <text>
        <r>
          <rPr>
            <b/>
            <sz val="8"/>
            <rFont val="Tahoma"/>
            <family val="0"/>
          </rPr>
          <t>Carolyn J. Henri:</t>
        </r>
        <r>
          <rPr>
            <sz val="8"/>
            <rFont val="Tahoma"/>
            <family val="0"/>
          </rPr>
          <t xml:space="preserve">
Noncash fixed costs are ones which do not have to be paid with a financial expenditure.  The main items included here are depreciation and opportunity cost (interest) on invested capital.  These two together are sometimes referred to as "capital recovery".  
If your crop is a perennial and this is a budget for full production years, this is the place to add an annual cost for the establishment of the perennial crop.  You can calculate that cost like you would a loan payment, i.e., principal + interest to repay the "loan" of the establishment cost over the life of the stand.</t>
        </r>
      </text>
    </comment>
    <comment ref="A53" authorId="0">
      <text>
        <r>
          <rPr>
            <b/>
            <sz val="8"/>
            <rFont val="Tahoma"/>
            <family val="0"/>
          </rPr>
          <t>Carolyn J. Henri:</t>
        </r>
        <r>
          <rPr>
            <sz val="8"/>
            <rFont val="Tahoma"/>
            <family val="0"/>
          </rPr>
          <t xml:space="preserve">
If you periodically re-establish your pasture, this is where to add an annual cost for the re-establishment of the pasture.  You can calculate that cost like you would a loan payment, i.e., principal + interest to repay the "loan" of the establishment cost over the life of the pasture between re-plantings.</t>
        </r>
      </text>
    </comment>
    <comment ref="E60" authorId="0">
      <text>
        <r>
          <rPr>
            <sz val="8"/>
            <rFont val="Tahoma"/>
            <family val="0"/>
          </rPr>
          <t xml:space="preserve">
This is the amount of acres leased multiplied by the rental rate per acre.  These items can be found in the "Farm and Buffer Assumptions" and "Prices" worksheets respectively.</t>
        </r>
      </text>
    </comment>
    <comment ref="A24" authorId="0">
      <text>
        <r>
          <rPr>
            <b/>
            <sz val="8"/>
            <rFont val="Tahoma"/>
            <family val="0"/>
          </rPr>
          <t>Carolyn J. Henri:</t>
        </r>
        <r>
          <rPr>
            <sz val="8"/>
            <rFont val="Tahoma"/>
            <family val="0"/>
          </rPr>
          <t xml:space="preserve">
Pertains to all animals sold including cull animals.  </t>
        </r>
      </text>
    </comment>
    <comment ref="D24" authorId="0">
      <text>
        <r>
          <rPr>
            <b/>
            <sz val="8"/>
            <rFont val="Tahoma"/>
            <family val="0"/>
          </rPr>
          <t>Carolyn J. Henri:</t>
        </r>
        <r>
          <rPr>
            <sz val="8"/>
            <rFont val="Tahoma"/>
            <family val="0"/>
          </rPr>
          <t xml:space="preserve">
This is the total number of animals sold during the year and is calculated directly from the "Monthly Allocation for Livestock Receipts" table in the Livestock Receipts worksheet.</t>
        </r>
      </text>
    </comment>
    <comment ref="E25" authorId="0">
      <text>
        <r>
          <rPr>
            <b/>
            <sz val="8"/>
            <rFont val="Tahoma"/>
            <family val="0"/>
          </rPr>
          <t>Carolyn J. Henri:</t>
        </r>
        <r>
          <rPr>
            <sz val="8"/>
            <rFont val="Tahoma"/>
            <family val="0"/>
          </rPr>
          <t xml:space="preserve">
Sales Commission % x total sales value for all cull animals sold through a sales yard.</t>
        </r>
      </text>
    </comment>
    <comment ref="F3" authorId="0">
      <text>
        <r>
          <rPr>
            <b/>
            <sz val="8"/>
            <rFont val="Tahoma"/>
            <family val="0"/>
          </rPr>
          <t>Carolyn J. Henri:</t>
        </r>
        <r>
          <rPr>
            <sz val="8"/>
            <rFont val="Tahoma"/>
            <family val="0"/>
          </rPr>
          <t xml:space="preserve">
This column averages the income and costs over the total number of animals in the herd.</t>
        </r>
      </text>
    </comment>
    <comment ref="D28" authorId="0">
      <text>
        <r>
          <rPr>
            <b/>
            <sz val="8"/>
            <rFont val="Tahoma"/>
            <family val="0"/>
          </rPr>
          <t>Carolyn J. Henri:</t>
        </r>
        <r>
          <rPr>
            <sz val="8"/>
            <rFont val="Tahoma"/>
            <family val="0"/>
          </rPr>
          <t xml:space="preserve">
Enter you total annual veterinary expense for this enterprise only</t>
        </r>
      </text>
    </comment>
    <comment ref="D27" authorId="0">
      <text>
        <r>
          <rPr>
            <b/>
            <sz val="8"/>
            <rFont val="Tahoma"/>
            <family val="0"/>
          </rPr>
          <t>Carolyn J. Henri:</t>
        </r>
        <r>
          <rPr>
            <sz val="8"/>
            <rFont val="Tahoma"/>
            <family val="0"/>
          </rPr>
          <t xml:space="preserve">
Enter the number of cattle that are trucked to and from pasture during the year</t>
        </r>
      </text>
    </comment>
    <comment ref="C26" authorId="0">
      <text>
        <r>
          <rPr>
            <b/>
            <sz val="8"/>
            <rFont val="Tahoma"/>
            <family val="0"/>
          </rPr>
          <t>Carolyn J. Henri:</t>
        </r>
        <r>
          <rPr>
            <sz val="8"/>
            <rFont val="Tahoma"/>
            <family val="0"/>
          </rPr>
          <t xml:space="preserve">
This number can be changed  in the Prices worksheet.  Do not change it here.</t>
        </r>
      </text>
    </comment>
    <comment ref="D31" authorId="0">
      <text>
        <r>
          <rPr>
            <b/>
            <sz val="8"/>
            <rFont val="Tahoma"/>
            <family val="0"/>
          </rPr>
          <t>Carolyn J. Henri:</t>
        </r>
        <r>
          <rPr>
            <sz val="8"/>
            <rFont val="Tahoma"/>
            <family val="0"/>
          </rPr>
          <t xml:space="preserve">
Equipment repair costs are estimated to be
5% of current market value.  If available, put in actual dollars spent per year for your enterprise.</t>
        </r>
      </text>
    </comment>
    <comment ref="D5" authorId="0">
      <text>
        <r>
          <rPr>
            <b/>
            <sz val="8"/>
            <rFont val="Tahoma"/>
            <family val="0"/>
          </rPr>
          <t>Carolyn J. Henri:</t>
        </r>
        <r>
          <rPr>
            <sz val="8"/>
            <rFont val="Tahoma"/>
            <family val="0"/>
          </rPr>
          <t xml:space="preserve">
Number of head X weight per head from Livestock Receipts worksheet</t>
        </r>
      </text>
    </comment>
    <comment ref="E33" authorId="0">
      <text>
        <r>
          <rPr>
            <sz val="8"/>
            <rFont val="Tahoma"/>
            <family val="0"/>
          </rPr>
          <t xml:space="preserve">
Number of animals in herd x number of work  hours per animal x wage rate.  Includes both owner and hired labor.
</t>
        </r>
      </text>
    </comment>
    <comment ref="E37" authorId="0">
      <text>
        <r>
          <rPr>
            <b/>
            <sz val="8"/>
            <rFont val="Tahoma"/>
            <family val="0"/>
          </rPr>
          <t>Carolyn J. Henri:</t>
        </r>
        <r>
          <rPr>
            <sz val="8"/>
            <rFont val="Tahoma"/>
            <family val="0"/>
          </rPr>
          <t xml:space="preserve">
Enter the annual operating interest from your farm accounts.  The actual amount will depend on how many production cycles there are per year and how often you receive revenue from your operation throughout the year.  Even if this money is not borrowed, it should be entered because it represents the opportunity cost of investing in your operations.
The default budget calculates interest on operating capital as on one-half of total variable costs for 6 months multiplied by the interest rate indicated in the Farm and Buffer Assumptions worksheet.</t>
        </r>
      </text>
    </comment>
    <comment ref="B15" authorId="0">
      <text>
        <r>
          <rPr>
            <sz val="8"/>
            <rFont val="Tahoma"/>
            <family val="0"/>
          </rPr>
          <t xml:space="preserve">These units transfer automatically from the Feed Requirements Table in the Livestock Receipts &amp; Feed Req worksheet.
</t>
        </r>
      </text>
    </comment>
    <comment ref="D34" authorId="0">
      <text>
        <r>
          <rPr>
            <b/>
            <sz val="8"/>
            <rFont val="Tahoma"/>
            <family val="0"/>
          </rPr>
          <t>Carolyn J. Henri:</t>
        </r>
        <r>
          <rPr>
            <sz val="8"/>
            <rFont val="Tahoma"/>
            <family val="0"/>
          </rPr>
          <t xml:space="preserve">
Enter total amount of annual misc. expenses</t>
        </r>
      </text>
    </comment>
    <comment ref="D32" authorId="0">
      <text>
        <r>
          <rPr>
            <sz val="8"/>
            <rFont val="Tahoma"/>
            <family val="0"/>
          </rPr>
          <t xml:space="preserve">
Repairs on improvements is estimated to be 1% of the market value per year.  If you have an actual annual amount for your farm, it should be entered here.</t>
        </r>
      </text>
    </comment>
    <comment ref="A63" authorId="0">
      <text>
        <r>
          <rPr>
            <sz val="8"/>
            <rFont val="Tahoma"/>
            <family val="0"/>
          </rPr>
          <t xml:space="preserve">
This is the total net projected return divided by the number of acres in production stated in the Farm &amp; Buffer Assumptions worksheet.</t>
        </r>
      </text>
    </comment>
    <comment ref="D20" authorId="0">
      <text>
        <r>
          <rPr>
            <b/>
            <sz val="8"/>
            <rFont val="Tahoma"/>
            <family val="0"/>
          </rPr>
          <t>Carolyn J. Henri:</t>
        </r>
        <r>
          <rPr>
            <sz val="8"/>
            <rFont val="Tahoma"/>
            <family val="0"/>
          </rPr>
          <t xml:space="preserve">
This number and the ones below it auto calculate from the Livestock feed requirement table in the Livestock Receipts and Feed Req. sheet.
</t>
        </r>
      </text>
    </comment>
    <comment ref="C21" authorId="0">
      <text>
        <r>
          <rPr>
            <b/>
            <sz val="8"/>
            <rFont val="Tahoma"/>
            <family val="0"/>
          </rPr>
          <t>Carolyn J. Henri:</t>
        </r>
        <r>
          <rPr>
            <sz val="8"/>
            <rFont val="Tahoma"/>
            <family val="0"/>
          </rPr>
          <t xml:space="preserve">
Enter the price per unit of feed item #1.  This should be the same feed item #1 that is in the Feed requirements table on the Livestock Receipts and Feed Req. sheet.</t>
        </r>
      </text>
    </comment>
    <comment ref="C22" authorId="0">
      <text>
        <r>
          <rPr>
            <b/>
            <sz val="8"/>
            <rFont val="Tahoma"/>
            <family val="0"/>
          </rPr>
          <t>Carolyn J. Henri:</t>
        </r>
        <r>
          <rPr>
            <sz val="8"/>
            <rFont val="Tahoma"/>
            <family val="0"/>
          </rPr>
          <t xml:space="preserve">
Enter the price per unit of feed item #2.  This should be the same feed item #2 that is in the Feed requirements table on the Livestock Receipts and Feed Req. sheet.</t>
        </r>
      </text>
    </comment>
  </commentList>
</comments>
</file>

<file path=xl/comments8.xml><?xml version="1.0" encoding="utf-8"?>
<comments xmlns="http://schemas.openxmlformats.org/spreadsheetml/2006/main">
  <authors>
    <author>Carolyn J. Henri</author>
  </authors>
  <commentList>
    <comment ref="A2" authorId="0">
      <text>
        <r>
          <rPr>
            <b/>
            <sz val="8"/>
            <rFont val="Tahoma"/>
            <family val="0"/>
          </rPr>
          <t>Carolyn J. Henri:</t>
        </r>
        <r>
          <rPr>
            <sz val="8"/>
            <rFont val="Tahoma"/>
            <family val="0"/>
          </rPr>
          <t xml:space="preserve">
Include all the lineal stream distance to be buffered, whether it  has an existing buffer or no buffer at all.
If you do not know the stream types on your property, you can check with Snohomish Conservation District or view stream maps located at Snohomish County Planning and Development Services offices. 
Definitions of stream types (Washington Forest Practices Board 1992):
Type 1: All waters within their ordinary high-water mark as inventoried in “Shorelines of the State.”  
Type 2: All waters not classed as Type 1, with 20 feet or more between each bank’s ordinary high water mark.  Type 2 waters have high use and are important from a water quality standpoint for domestic use, public recreation, and fish and wildlife habitat.
Type 3: Waters that have 5 or more feet between each bank’s ordinary high water mark, and which have a moderate to slight use and are moderately important from a water quality standpoint for domestic use, public recreation, and fish and wildlife habitat.    
Type 4: Waters that have 2 or more feet between each bank’s ordinary high water mark.  Their significance lies in their influence on the water quality of larger water types downstream.  Type 4 streams may be perennial or intermittent.
Type 5:  All other waters, in natural watercourses, including streams with or without a well-defined channel, areas of perennial or intermittent seepage, and natural sinks.  Drainage ways having a short period of spring runoff are also considered to be Type 5.
Type 9:  Unknown </t>
        </r>
      </text>
    </comment>
    <comment ref="B19" authorId="0">
      <text>
        <r>
          <rPr>
            <b/>
            <sz val="8"/>
            <rFont val="Tahoma"/>
            <family val="0"/>
          </rPr>
          <t>Carolyn J. Henri:</t>
        </r>
        <r>
          <rPr>
            <sz val="8"/>
            <rFont val="Tahoma"/>
            <family val="0"/>
          </rPr>
          <t xml:space="preserve">
If you do not currently have a buffer, then include the final width of the planned buffer.  If you already have a buffer and are planning to expand its width, include only the ADDITIONAL width in this column.  If you have several segments of a type x stream with different existing buffer widths, use the </t>
        </r>
        <r>
          <rPr>
            <i/>
            <sz val="8"/>
            <rFont val="Tahoma"/>
            <family val="2"/>
          </rPr>
          <t>weighted average buffer width</t>
        </r>
        <r>
          <rPr>
            <sz val="8"/>
            <rFont val="Tahoma"/>
            <family val="0"/>
          </rPr>
          <t xml:space="preserve">.  If your current buffer will be removed and replanted as part of your buffer project, it should be treated as if there is no buffer at all.
</t>
        </r>
        <r>
          <rPr>
            <u val="single"/>
            <sz val="8"/>
            <rFont val="Tahoma"/>
            <family val="2"/>
          </rPr>
          <t>How to calculate the weighted average existing buffer width</t>
        </r>
        <r>
          <rPr>
            <sz val="8"/>
            <rFont val="Tahoma"/>
            <family val="0"/>
          </rPr>
          <t xml:space="preserve">:  Sum all the lineal feet of the stream type on the property.  Separate the total into stream segments by buffer width (i.e. 1200 lineal ft. with 150' buffer, 200 lineal ft. with 30' buffer, and 500 lineal ft. with 70' buffer).  Multiply the buffer width of the segment by the segment length divided by the total type x length.  Repeat this for each segment, then add all the segments.  This is your average existing buffer width.
EXAMPLE 1: Karen has 12,000 lineal feet of type 1 stream on her property.  6,000 of these lineal feet already have a 150' forested buffer, 4,000 lineal feet have a 45' buffer, and 2,000 lineal feet have no buffer.  Her average existing buffer width is: [150*6,000/12,000] + [45*4,000/12,000] + [0*2,000/12,000] = 90 feet.  If the selected treatment for a Type 1 stream is a 300' forested buffer, Karen would enter '210'  (300-90) in the appropriate blue box.  
EXAMPLE 2:  Bill currently has no buffer along a type 1 stream.  He is planning to install a 125' setback.  He should enter 125' in the appropriate blue box.
EXAMPLE 3:  James currently has a 50' tree buffer along a type 1 stream.  He will increase the width of this buffer by 75' for a total buffer width of 125'.  James will not do any additional work in the existing buffer.  He should enter 75'  in the appropriate blue box.   
EXAMPLE 4:  Hank currently has a 15' blackberry buffer along a type 1 stream.  He will increase the width of the buffer by 60' for a total buffer width of 75'.  Hank will remove the blackberries and plant the whole buffer in trees.  He should enter 75' in the appropriate box.
</t>
        </r>
      </text>
    </comment>
    <comment ref="A73" authorId="0">
      <text>
        <r>
          <rPr>
            <b/>
            <sz val="8"/>
            <rFont val="Tahoma"/>
            <family val="0"/>
          </rPr>
          <t>Carolyn J. Henri:</t>
        </r>
        <r>
          <rPr>
            <sz val="8"/>
            <rFont val="Tahoma"/>
            <family val="0"/>
          </rPr>
          <t xml:space="preserve">
Type 9 watercourses are un-typed.  If you have watercourses on your property that are not recorded on county or state maps, include them in this stream type</t>
        </r>
      </text>
    </comment>
    <comment ref="C16" authorId="0">
      <text>
        <r>
          <rPr>
            <b/>
            <sz val="8"/>
            <rFont val="Tahoma"/>
            <family val="0"/>
          </rPr>
          <t>Carolyn J. Henri:</t>
        </r>
        <r>
          <rPr>
            <sz val="8"/>
            <rFont val="Tahoma"/>
            <family val="0"/>
          </rPr>
          <t xml:space="preserve">
This value can be changed in the Prices worksheet.  Do not change it here.</t>
        </r>
      </text>
    </comment>
    <comment ref="C19" authorId="0">
      <text>
        <r>
          <rPr>
            <b/>
            <sz val="8"/>
            <rFont val="Tahoma"/>
            <family val="0"/>
          </rPr>
          <t>Carolyn J. Henri:</t>
        </r>
        <r>
          <rPr>
            <sz val="8"/>
            <rFont val="Tahoma"/>
            <family val="0"/>
          </rPr>
          <t xml:space="preserve">
Acreage is calculated using the following formula: Average Width in feet multiplied by the length in lineal feet, then divided by 43,560.
There are 43,560 square feet in an acre.</t>
        </r>
      </text>
    </comment>
    <comment ref="B43" authorId="0">
      <text>
        <r>
          <rPr>
            <b/>
            <sz val="8"/>
            <rFont val="Tahoma"/>
            <family val="0"/>
          </rPr>
          <t>Carolyn J. Henri:</t>
        </r>
        <r>
          <rPr>
            <sz val="8"/>
            <rFont val="Tahoma"/>
            <family val="0"/>
          </rPr>
          <t xml:space="preserve">
Numbers here are only examples.  You should enter the widths of your own buffers.</t>
        </r>
      </text>
    </comment>
    <comment ref="C108" authorId="0">
      <text>
        <r>
          <rPr>
            <b/>
            <sz val="8"/>
            <rFont val="Tahoma"/>
            <family val="0"/>
          </rPr>
          <t>Carolyn J. Henri:</t>
        </r>
        <r>
          <rPr>
            <sz val="8"/>
            <rFont val="Tahoma"/>
            <family val="0"/>
          </rPr>
          <t xml:space="preserve">
This calculation assumes a regular annual income.  If the income is periodic over an indefinite period (every five years for the foreseeable future, for example) the following equation must be used:  C= R/{(1+i)</t>
        </r>
        <r>
          <rPr>
            <b/>
            <vertAlign val="superscript"/>
            <sz val="9"/>
            <rFont val="Tahoma"/>
            <family val="2"/>
          </rPr>
          <t>n</t>
        </r>
        <r>
          <rPr>
            <sz val="8"/>
            <rFont val="Tahoma"/>
            <family val="0"/>
          </rPr>
          <t xml:space="preserve"> - 1}.  "C" stands for "Capitalized value", R is the amount of periodic income, i is the interest rate, and n is the number of interest bearing periods between income payments.
If the income is limited to only a certain amount of years, the following Excel function must be used:  -PV(rate,nper,pmt,fv,type).  See the Excel Help file for how to use this function.  </t>
        </r>
      </text>
    </comment>
    <comment ref="C109" authorId="0">
      <text>
        <r>
          <rPr>
            <b/>
            <sz val="8"/>
            <rFont val="Tahoma"/>
            <family val="0"/>
          </rPr>
          <t>Carolyn J. Henri:</t>
        </r>
        <r>
          <rPr>
            <sz val="8"/>
            <rFont val="Tahoma"/>
            <family val="0"/>
          </rPr>
          <t xml:space="preserve">
This calculation assumes a regular annual income.  If the income is periodic over an indefinite period (every five years for the foreseeable future, for example) the following equation must be used:  C= R/{(1+i)</t>
        </r>
        <r>
          <rPr>
            <b/>
            <vertAlign val="superscript"/>
            <sz val="9"/>
            <rFont val="Tahoma"/>
            <family val="2"/>
          </rPr>
          <t>n</t>
        </r>
        <r>
          <rPr>
            <sz val="8"/>
            <rFont val="Tahoma"/>
            <family val="0"/>
          </rPr>
          <t xml:space="preserve"> - 1}.  "C" stands for "Capitalized value", R is the amount of periodic income, i is the interest rate, and n is the number of interest bearing periods between income payments.
If the income is limited to only a certain amount of years, the following Excel function must be used:  -PV(rate,nper,pmt,fv,type).  See the Excel Help file for how to use this function.  </t>
        </r>
      </text>
    </comment>
    <comment ref="C142" authorId="0">
      <text>
        <r>
          <rPr>
            <sz val="8"/>
            <rFont val="Tahoma"/>
            <family val="0"/>
          </rPr>
          <t xml:space="preserve">This cell assumes the Other Cost is an annual reoccurring cost.  If the cost is periodic over an indefinite period (every five years for the foreseeable future, for example) the following equation must be used:  C= R/{(1+i)n - 1}.  "C" stands for "Capitalized value", 'R' is the amount of periodic cost,' i ' is the interest rate, and 'n' is the number of interest bearing periods between cost payments.
If the cost is limited to only a certain amount of years, the following Excel function must be used:  -PV(rate,nper,pmt,fv,type).  See the Excel Help file for how to use this function. 
</t>
        </r>
      </text>
    </comment>
    <comment ref="C15" authorId="0">
      <text>
        <r>
          <rPr>
            <b/>
            <sz val="8"/>
            <rFont val="Tahoma"/>
            <family val="0"/>
          </rPr>
          <t>Carolyn J. Henri:</t>
        </r>
        <r>
          <rPr>
            <sz val="8"/>
            <rFont val="Tahoma"/>
            <family val="0"/>
          </rPr>
          <t xml:space="preserve">
Enter 0 if no fencing required.</t>
        </r>
      </text>
    </comment>
    <comment ref="A84" authorId="0">
      <text>
        <r>
          <rPr>
            <sz val="8"/>
            <rFont val="Tahoma"/>
            <family val="0"/>
          </rPr>
          <t>This table automatically summarizes the different buffer types and total buffer acreage for your property.</t>
        </r>
      </text>
    </comment>
    <comment ref="B95" authorId="0">
      <text>
        <r>
          <rPr>
            <b/>
            <sz val="8"/>
            <rFont val="Tahoma"/>
            <family val="0"/>
          </rPr>
          <t>Carolyn J. Henri:</t>
        </r>
        <r>
          <rPr>
            <sz val="8"/>
            <rFont val="Tahoma"/>
            <family val="0"/>
          </rPr>
          <t xml:space="preserve">
Enter a rough estimate.  This number is used later in the "Budget with buffer" worksheet to adjust the rental payments you make on leased land.   If you do not lease land or if your land rental payments will not change as a result of buffers placed on leased land, then enter 0.</t>
        </r>
      </text>
    </comment>
    <comment ref="A97" authorId="0">
      <text>
        <r>
          <rPr>
            <b/>
            <sz val="8"/>
            <rFont val="Tahoma"/>
            <family val="0"/>
          </rPr>
          <t>Carolyn J. Henri:</t>
        </r>
        <r>
          <rPr>
            <sz val="8"/>
            <rFont val="Tahoma"/>
            <family val="0"/>
          </rPr>
          <t xml:space="preserve">
This table summarizes all the revenues and costs associated with the buffers you’ve just designed in the Multi-Zone Buffer Builder Table (above).  If an item is not relevant a “0” will appear in the $ column.   Note that these are TOTAL incomes and costs for the buffer area, NOT per acre costs.
How the Buffer Budget Summary table works:  This table is linked to the Buffer Acreage Summary table above.  It is also linked to a worksheet called “Buffer Budgets.” If you are working in the Excel workbook, you will see a tab called “Buffer Budgets” at the bottom of the screen behind the “Sensitivity” tab.  The “Buffer Budgets” worksheet has seven separate budgets for the seven different buffer types (setback, grass filterstrip, grass green chop/silage, hay, shrub, mixed forest (no-touch) and mixed forest (managed)).  The Buffer Budget Summary Table takes the per acre revenues and costs of the individual buffer types in the “Buffer Budgets” worksheet and multiplies these by the number of acres for each buffer type in the Buffer Acreage Summary Table.</t>
        </r>
      </text>
    </comment>
    <comment ref="B99" authorId="0">
      <text>
        <r>
          <rPr>
            <b/>
            <sz val="8"/>
            <rFont val="Tahoma"/>
            <family val="0"/>
          </rPr>
          <t>Carolyn J. Henri:</t>
        </r>
        <r>
          <rPr>
            <sz val="8"/>
            <rFont val="Tahoma"/>
            <family val="0"/>
          </rPr>
          <t xml:space="preserve">
This column contains the value per unit (usually, but not always, one year).  For comparison sake, these figures are converted to their present values in the next column.</t>
        </r>
      </text>
    </comment>
    <comment ref="C99" authorId="0">
      <text>
        <r>
          <rPr>
            <b/>
            <sz val="8"/>
            <rFont val="Tahoma"/>
            <family val="0"/>
          </rPr>
          <t>Carolyn J. Henri:</t>
        </r>
        <r>
          <rPr>
            <sz val="8"/>
            <rFont val="Tahoma"/>
            <family val="0"/>
          </rPr>
          <t xml:space="preserve">
PV = Present Value.
Not all buffer revenues and costs occur in the same year.  In order to compare revenues and costs, they must be expressed in their </t>
        </r>
        <r>
          <rPr>
            <i/>
            <sz val="8"/>
            <rFont val="Tahoma"/>
            <family val="2"/>
          </rPr>
          <t>present values</t>
        </r>
        <r>
          <rPr>
            <sz val="8"/>
            <rFont val="Tahoma"/>
            <family val="0"/>
          </rPr>
          <t xml:space="preserve"> (their values today).  These values are shown in this column.  
These are total revenues or costs of the buffer over it's entire lifetime.  PLEASE NOTE:  These are NOT annual costs.  This model assumes that buffers are permanent, once installed.
</t>
        </r>
      </text>
    </comment>
    <comment ref="B124" authorId="0">
      <text>
        <r>
          <rPr>
            <b/>
            <sz val="8"/>
            <rFont val="Tahoma"/>
            <family val="0"/>
          </rPr>
          <t>Carolyn J. Henri:</t>
        </r>
        <r>
          <rPr>
            <sz val="8"/>
            <rFont val="Tahoma"/>
            <family val="0"/>
          </rPr>
          <t xml:space="preserve">
Enter the total cost of installing new watering facilities.  Include only costs that are a direct result of installing the buffer areas.</t>
        </r>
      </text>
    </comment>
    <comment ref="A122" authorId="0">
      <text>
        <r>
          <rPr>
            <sz val="8"/>
            <rFont val="Tahoma"/>
            <family val="0"/>
          </rPr>
          <t xml:space="preserve">
Assumes 7% of shrubs and 10% of trees will have to be replaced in year two.</t>
        </r>
      </text>
    </comment>
    <comment ref="C148" authorId="0">
      <text>
        <r>
          <rPr>
            <sz val="8"/>
            <rFont val="Tahoma"/>
            <family val="0"/>
          </rPr>
          <t xml:space="preserve">
This is the net cost or revenue divided by the number of acres in the buffer.</t>
        </r>
      </text>
    </comment>
    <comment ref="C152" authorId="0">
      <text>
        <r>
          <rPr>
            <b/>
            <sz val="8"/>
            <rFont val="Tahoma"/>
            <family val="0"/>
          </rPr>
          <t>Carolyn J. Henri:</t>
        </r>
        <r>
          <rPr>
            <sz val="8"/>
            <rFont val="Tahoma"/>
            <family val="0"/>
          </rPr>
          <t xml:space="preserve">
This is the total cost or revenue divided by the number of acres in the buffer.</t>
        </r>
      </text>
    </comment>
    <comment ref="C156" authorId="0">
      <text>
        <r>
          <rPr>
            <b/>
            <sz val="8"/>
            <rFont val="Tahoma"/>
            <family val="0"/>
          </rPr>
          <t>Carolyn J. Henri:</t>
        </r>
        <r>
          <rPr>
            <sz val="8"/>
            <rFont val="Tahoma"/>
            <family val="0"/>
          </rPr>
          <t xml:space="preserve">
This is the total cost or revenue divided by the number of acres in the buffer.</t>
        </r>
      </text>
    </comment>
    <comment ref="C160" authorId="0">
      <text>
        <r>
          <rPr>
            <b/>
            <sz val="8"/>
            <rFont val="Tahoma"/>
            <family val="0"/>
          </rPr>
          <t>Carolyn J. Henri:</t>
        </r>
        <r>
          <rPr>
            <sz val="8"/>
            <rFont val="Tahoma"/>
            <family val="0"/>
          </rPr>
          <t xml:space="preserve">
This is the total cost or revenue divided by the number of acres in the buffer.</t>
        </r>
      </text>
    </comment>
    <comment ref="A147" authorId="0">
      <text>
        <r>
          <rPr>
            <b/>
            <sz val="8"/>
            <rFont val="Tahoma"/>
            <family val="0"/>
          </rPr>
          <t>Carolyn J. Henri:</t>
        </r>
        <r>
          <rPr>
            <sz val="8"/>
            <rFont val="Tahoma"/>
            <family val="0"/>
          </rPr>
          <t xml:space="preserve">
The annual equivalent is the average annual return  or loss associated with the buffers. When summed over a chosen period (in this case 10, 15, 25, or 50 years) the annual equivalent is equal to the net present value of the returns (losses) from the enterprise.  The average annual revenue and cost are used in the annual budget ("Budget w. buffer") to reflect annual buffer impacts.  
The user can designate the time period over which to average the annual costs in the "Farm and Buffer Assumptions sheet". The choice over how many years to annualize is largely an accounting question and will be unique to the tax situation of each operation.  An accountant should be consulted for questions on this issue.  The shorter the time period over which the costs or revenues are annualized the larger the annual amounts will be.</t>
        </r>
      </text>
    </comment>
    <comment ref="B133" authorId="0">
      <text>
        <r>
          <rPr>
            <sz val="8"/>
            <rFont val="Tahoma"/>
            <family val="0"/>
          </rPr>
          <t xml:space="preserve">
Annual fence repair is assumed to be 5% of the installation costs.</t>
        </r>
      </text>
    </comment>
    <comment ref="B140" authorId="0">
      <text>
        <r>
          <rPr>
            <sz val="8"/>
            <rFont val="Tahoma"/>
            <family val="0"/>
          </rPr>
          <t xml:space="preserve">
Land that is spatially unviable means land that is now inaccessible because of the buffer, usually for physical reasons (i.e. areas that are now too small to mow with your equipment due to the presence of the buffer, or areas that have been made unproductive for some other operational reason caused by the buffer).  Note:  This is NOT land that is physically OCCUPIED by the buffer.  Include only net income directly related to the Cow-Calf operation. Enter the annual amount per acre lost multiplied by the number of acres affected.</t>
        </r>
      </text>
    </comment>
    <comment ref="A141" authorId="0">
      <text>
        <r>
          <rPr>
            <sz val="8"/>
            <rFont val="Tahoma"/>
            <family val="0"/>
          </rPr>
          <t xml:space="preserve">
If you currently graze animals in the buffer area and will now have to purchase an outside source of feed to replace grazing in the buffer area, you should fill in this cell.</t>
        </r>
      </text>
    </comment>
    <comment ref="B141" authorId="0">
      <text>
        <r>
          <rPr>
            <sz val="8"/>
            <rFont val="Tahoma"/>
            <family val="0"/>
          </rPr>
          <t xml:space="preserve">
This cell should reflect your NET increase in feed costs due to the installation of the buffer.  This is the cost of the new feed per acre per year less the cost of the old feed per acre per year, multiplied by the number of acres in the buffer area (cell B97).  If you do not have increased feed costs, leave this cell blank.</t>
        </r>
      </text>
    </comment>
    <comment ref="B139" authorId="0">
      <text>
        <r>
          <rPr>
            <sz val="8"/>
            <rFont val="Tahoma"/>
            <family val="0"/>
          </rPr>
          <t xml:space="preserve">This cell auto-calculates based on whether your budget without buffer is profitable on a per acre basis.
</t>
        </r>
      </text>
    </comment>
    <comment ref="B108" authorId="0">
      <text>
        <r>
          <rPr>
            <sz val="8"/>
            <rFont val="Tahoma"/>
            <family val="0"/>
          </rPr>
          <t xml:space="preserve">
Include the income per acre multiplied by the number of acres in the buffer (cell B98).</t>
        </r>
      </text>
    </comment>
    <comment ref="B109" authorId="0">
      <text>
        <r>
          <rPr>
            <sz val="8"/>
            <rFont val="Tahoma"/>
            <family val="0"/>
          </rPr>
          <t xml:space="preserve">
Include the income per acre multiplied by the number of acres in the buffer (cell B98).</t>
        </r>
      </text>
    </comment>
  </commentList>
</comments>
</file>

<file path=xl/comments9.xml><?xml version="1.0" encoding="utf-8"?>
<comments xmlns="http://schemas.openxmlformats.org/spreadsheetml/2006/main">
  <authors>
    <author>Carolyn J. Henri</author>
  </authors>
  <commentList>
    <comment ref="F3" authorId="0">
      <text>
        <r>
          <rPr>
            <b/>
            <sz val="8"/>
            <rFont val="Tahoma"/>
            <family val="0"/>
          </rPr>
          <t>Carolyn J. Henri:</t>
        </r>
        <r>
          <rPr>
            <sz val="8"/>
            <rFont val="Tahoma"/>
            <family val="0"/>
          </rPr>
          <t xml:space="preserve">
This column averages the income and costs over the total number of animals in the herd.</t>
        </r>
      </text>
    </comment>
    <comment ref="D5" authorId="0">
      <text>
        <r>
          <rPr>
            <b/>
            <sz val="8"/>
            <rFont val="Tahoma"/>
            <family val="0"/>
          </rPr>
          <t>Carolyn J. Henri:</t>
        </r>
        <r>
          <rPr>
            <sz val="8"/>
            <rFont val="Tahoma"/>
            <family val="0"/>
          </rPr>
          <t xml:space="preserve">
Number of head X weight per head from Livestock Receipts worksheet</t>
        </r>
      </text>
    </comment>
    <comment ref="B16" authorId="0">
      <text>
        <r>
          <rPr>
            <sz val="8"/>
            <rFont val="Tahoma"/>
            <family val="0"/>
          </rPr>
          <t xml:space="preserve">These units transfer automatically from the Feed Requirements Table in the Livestock Receipts &amp; Feed Req worksheet.
</t>
        </r>
      </text>
    </comment>
    <comment ref="D21" authorId="0">
      <text>
        <r>
          <rPr>
            <b/>
            <sz val="8"/>
            <rFont val="Tahoma"/>
            <family val="0"/>
          </rPr>
          <t>Carolyn J. Henri:</t>
        </r>
        <r>
          <rPr>
            <sz val="8"/>
            <rFont val="Tahoma"/>
            <family val="0"/>
          </rPr>
          <t xml:space="preserve">
This number and the ones below it auto calculate from the Livestock feed requirement table in the Livestock Receipts and Feed Req. sheet.
</t>
        </r>
      </text>
    </comment>
    <comment ref="A25" authorId="0">
      <text>
        <r>
          <rPr>
            <b/>
            <sz val="8"/>
            <rFont val="Tahoma"/>
            <family val="0"/>
          </rPr>
          <t>Carolyn J. Henri:</t>
        </r>
        <r>
          <rPr>
            <sz val="8"/>
            <rFont val="Tahoma"/>
            <family val="0"/>
          </rPr>
          <t xml:space="preserve">
Pertains to all animals sold including cull animals.  </t>
        </r>
      </text>
    </comment>
    <comment ref="D25" authorId="0">
      <text>
        <r>
          <rPr>
            <b/>
            <sz val="8"/>
            <rFont val="Tahoma"/>
            <family val="0"/>
          </rPr>
          <t>Carolyn J. Henri:</t>
        </r>
        <r>
          <rPr>
            <sz val="8"/>
            <rFont val="Tahoma"/>
            <family val="0"/>
          </rPr>
          <t xml:space="preserve">
This is the total number of animals sold during the year and is calculated directly from the "Monthly Allocation for Livestock Receipts" table in the Livestock Receipts worksheet.</t>
        </r>
      </text>
    </comment>
    <comment ref="E26" authorId="0">
      <text>
        <r>
          <rPr>
            <b/>
            <sz val="8"/>
            <rFont val="Tahoma"/>
            <family val="0"/>
          </rPr>
          <t>Carolyn J. Henri:</t>
        </r>
        <r>
          <rPr>
            <sz val="8"/>
            <rFont val="Tahoma"/>
            <family val="0"/>
          </rPr>
          <t xml:space="preserve">
Sales Commission % x total sales value for all cull animals sold through a sales yard.</t>
        </r>
      </text>
    </comment>
    <comment ref="C27" authorId="0">
      <text>
        <r>
          <rPr>
            <b/>
            <sz val="8"/>
            <rFont val="Tahoma"/>
            <family val="0"/>
          </rPr>
          <t>Carolyn J. Henri:</t>
        </r>
        <r>
          <rPr>
            <sz val="8"/>
            <rFont val="Tahoma"/>
            <family val="0"/>
          </rPr>
          <t xml:space="preserve">
This number can be changed  in the Prices worksheet.  Do not change it here.</t>
        </r>
      </text>
    </comment>
    <comment ref="D28" authorId="0">
      <text>
        <r>
          <rPr>
            <b/>
            <sz val="8"/>
            <rFont val="Tahoma"/>
            <family val="0"/>
          </rPr>
          <t>Carolyn J. Henri:</t>
        </r>
        <r>
          <rPr>
            <sz val="8"/>
            <rFont val="Tahoma"/>
            <family val="0"/>
          </rPr>
          <t xml:space="preserve">
Enter the number of cattle that are trucked to and from pasture during the year</t>
        </r>
      </text>
    </comment>
    <comment ref="D29" authorId="0">
      <text>
        <r>
          <rPr>
            <b/>
            <sz val="8"/>
            <rFont val="Tahoma"/>
            <family val="0"/>
          </rPr>
          <t>Carolyn J. Henri:</t>
        </r>
        <r>
          <rPr>
            <sz val="8"/>
            <rFont val="Tahoma"/>
            <family val="0"/>
          </rPr>
          <t xml:space="preserve">
Enter you total annual veterinary expense for this enterprise only</t>
        </r>
      </text>
    </comment>
    <comment ref="D32" authorId="0">
      <text>
        <r>
          <rPr>
            <b/>
            <sz val="8"/>
            <rFont val="Tahoma"/>
            <family val="0"/>
          </rPr>
          <t>Carolyn J. Henri:</t>
        </r>
        <r>
          <rPr>
            <sz val="8"/>
            <rFont val="Tahoma"/>
            <family val="0"/>
          </rPr>
          <t xml:space="preserve">
Equipment repair costs are estimated to be
5% of current market value.  If available, put in actual dollars spent per year for your enterprise.</t>
        </r>
      </text>
    </comment>
    <comment ref="D33" authorId="0">
      <text>
        <r>
          <rPr>
            <sz val="8"/>
            <rFont val="Tahoma"/>
            <family val="0"/>
          </rPr>
          <t xml:space="preserve">
Repairs on improvements is estimated to be 1% of the market value per year.  If you have an actual annual amount for your farm, it should be entered here.</t>
        </r>
      </text>
    </comment>
    <comment ref="D35" authorId="0">
      <text>
        <r>
          <rPr>
            <b/>
            <sz val="8"/>
            <rFont val="Tahoma"/>
            <family val="0"/>
          </rPr>
          <t>Carolyn J. Henri:</t>
        </r>
        <r>
          <rPr>
            <sz val="8"/>
            <rFont val="Tahoma"/>
            <family val="0"/>
          </rPr>
          <t xml:space="preserve">
Enter total amount of annual misc. expenses</t>
        </r>
      </text>
    </comment>
    <comment ref="E38" authorId="0">
      <text>
        <r>
          <rPr>
            <b/>
            <sz val="8"/>
            <rFont val="Tahoma"/>
            <family val="0"/>
          </rPr>
          <t>Carolyn J. Henri:</t>
        </r>
        <r>
          <rPr>
            <sz val="8"/>
            <rFont val="Tahoma"/>
            <family val="0"/>
          </rPr>
          <t xml:space="preserve">
Enter the annual operating interest from your farm accounts.  The actual amount will depend on how many production cycles there are per year and how often you receive revenue from your operation throughout the year.  Even if this money is not borrowed, it should be entered because it represents the opportunity cost of investing in your operations.
The default budget calculates interest on operating capital as on one-half of total variable costs for 6 months multiplied by the interest rate indicated in the Farm and Buffer Assumptions worksheet.</t>
        </r>
      </text>
    </comment>
    <comment ref="E43" authorId="0">
      <text>
        <r>
          <rPr>
            <b/>
            <sz val="8"/>
            <rFont val="Tahoma"/>
            <family val="0"/>
          </rPr>
          <t>Carolyn J. Henri:</t>
        </r>
        <r>
          <rPr>
            <sz val="8"/>
            <rFont val="Tahoma"/>
            <family val="0"/>
          </rPr>
          <t xml:space="preserve">
Property tax on buildings and equipment is calculated on the Equipment and Investment worksheet.  It is calculated using the following equation: Taxes = Market Value x Property Tax Rate (from Assumptions worksheet).
 Land tax calculation: # of acres X </t>
        </r>
        <r>
          <rPr>
            <i/>
            <sz val="8"/>
            <rFont val="Tahoma"/>
            <family val="2"/>
          </rPr>
          <t>assessed</t>
        </r>
        <r>
          <rPr>
            <sz val="8"/>
            <rFont val="Tahoma"/>
            <family val="0"/>
          </rPr>
          <t xml:space="preserve"> value per acre x county property tax rate.</t>
        </r>
      </text>
    </comment>
    <comment ref="E45" authorId="0">
      <text>
        <r>
          <rPr>
            <b/>
            <sz val="8"/>
            <rFont val="Tahoma"/>
            <family val="0"/>
          </rPr>
          <t>Carolyn J. Henri:</t>
        </r>
        <r>
          <rPr>
            <sz val="8"/>
            <rFont val="Tahoma"/>
            <family val="0"/>
          </rPr>
          <t xml:space="preserve">
This is in addition to property tax. </t>
        </r>
      </text>
    </comment>
    <comment ref="A48" authorId="0">
      <text>
        <r>
          <rPr>
            <b/>
            <sz val="8"/>
            <rFont val="Tahoma"/>
            <family val="0"/>
          </rPr>
          <t>Carolyn J. Henri:</t>
        </r>
        <r>
          <rPr>
            <sz val="8"/>
            <rFont val="Tahoma"/>
            <family val="0"/>
          </rPr>
          <t xml:space="preserve">
Noncash fixed costs are ones which do not have to be paid with a financial expenditure.  The main items included here are depreciation and opportunity cost (interest) on invested capital.  These two together are sometimes referred to as "capital recovery".  
If your crop is a perennial and this is a budget for full production years, this is the place to add an annual cost for the establishment of the perennial crop.  You can calculate that cost like you would a loan payment, i.e., principal + interest to repay the "loan" of the establishment cost over the life of the stand.</t>
        </r>
      </text>
    </comment>
    <comment ref="A55" authorId="0">
      <text>
        <r>
          <rPr>
            <b/>
            <sz val="8"/>
            <rFont val="Tahoma"/>
            <family val="0"/>
          </rPr>
          <t>Carolyn J. Henri:</t>
        </r>
        <r>
          <rPr>
            <sz val="8"/>
            <rFont val="Tahoma"/>
            <family val="0"/>
          </rPr>
          <t xml:space="preserve">
If you periodically re-establish your pasture, this is where to add an annual cost for the re-establishment of the pasture.  You can calculate that cost like you would a loan payment, i.e., principal + interest to repay the "loan" of the establishment cost over the life of the pasture between re-plantings.</t>
        </r>
      </text>
    </comment>
    <comment ref="E62" authorId="0">
      <text>
        <r>
          <rPr>
            <sz val="8"/>
            <rFont val="Tahoma"/>
            <family val="0"/>
          </rPr>
          <t xml:space="preserve">
This is the amount of acres leased multiplied by the rental rate per acre.  These items can be found in the "Farm and Buffer Assumptions" and "Prices" worksheets respectively.</t>
        </r>
      </text>
    </comment>
    <comment ref="F11" authorId="0">
      <text>
        <r>
          <rPr>
            <b/>
            <sz val="8"/>
            <rFont val="Tahoma"/>
            <family val="0"/>
          </rPr>
          <t>Carolyn J. Henri:</t>
        </r>
        <r>
          <rPr>
            <sz val="8"/>
            <rFont val="Tahoma"/>
            <family val="0"/>
          </rPr>
          <t xml:space="preserve">
In order to be compared with the other per head income in the annual budget, the income from the buffer has to be expressed in the same units as other income.  This is in $ </t>
        </r>
        <r>
          <rPr>
            <i/>
            <sz val="8"/>
            <rFont val="Tahoma"/>
            <family val="2"/>
          </rPr>
          <t>per head</t>
        </r>
        <r>
          <rPr>
            <sz val="8"/>
            <rFont val="Tahoma"/>
            <family val="0"/>
          </rPr>
          <t>, not per acre of buffer.</t>
        </r>
      </text>
    </comment>
    <comment ref="F39" authorId="0">
      <text>
        <r>
          <rPr>
            <b/>
            <sz val="8"/>
            <rFont val="Tahoma"/>
            <family val="0"/>
          </rPr>
          <t>Carolyn J. Henri:</t>
        </r>
        <r>
          <rPr>
            <sz val="8"/>
            <rFont val="Tahoma"/>
            <family val="0"/>
          </rPr>
          <t xml:space="preserve">
In order to be compared with the other per head costs in the annual budget, the costs of the buffer have to be expressed in the same units as other costs.  This figure is in $ per head, not per acre of buffer.</t>
        </r>
      </text>
    </comment>
    <comment ref="E34" authorId="0">
      <text>
        <r>
          <rPr>
            <sz val="8"/>
            <rFont val="Tahoma"/>
            <family val="0"/>
          </rPr>
          <t xml:space="preserve">
Number of animals in herd x number of work  hours per animal x wage rate.  Includes both owner and hired labor.
</t>
        </r>
      </text>
    </comment>
    <comment ref="G57" authorId="0">
      <text>
        <r>
          <rPr>
            <b/>
            <sz val="8"/>
            <rFont val="Tahoma"/>
            <family val="0"/>
          </rPr>
          <t>Carolyn J. Henri:</t>
        </r>
        <r>
          <rPr>
            <sz val="8"/>
            <rFont val="Tahoma"/>
            <family val="0"/>
          </rPr>
          <t xml:space="preserve">
% of total variable and fixed costs</t>
        </r>
      </text>
    </comment>
    <comment ref="G40" authorId="0">
      <text>
        <r>
          <rPr>
            <b/>
            <sz val="8"/>
            <rFont val="Tahoma"/>
            <family val="0"/>
          </rPr>
          <t>Carolyn J. Henri:</t>
        </r>
        <r>
          <rPr>
            <sz val="8"/>
            <rFont val="Tahoma"/>
            <family val="0"/>
          </rPr>
          <t xml:space="preserve">
Percent of total variable and fixed costs.</t>
        </r>
      </text>
    </comment>
    <comment ref="A15" authorId="0">
      <text>
        <r>
          <rPr>
            <sz val="8"/>
            <rFont val="Tahoma"/>
            <family val="0"/>
          </rPr>
          <t xml:space="preserve">
Adjustments to feed costs due to the presence of the buffer are not calculated here - they are calculated on the Buffer Builder worksheet and included in the annual equivalent buffer cost </t>
        </r>
      </text>
    </comment>
  </commentList>
</comments>
</file>

<file path=xl/sharedStrings.xml><?xml version="1.0" encoding="utf-8"?>
<sst xmlns="http://schemas.openxmlformats.org/spreadsheetml/2006/main" count="1734" uniqueCount="752">
  <si>
    <t>Unit</t>
  </si>
  <si>
    <t>Feed:</t>
  </si>
  <si>
    <t>Total Feed Expenses</t>
  </si>
  <si>
    <t>Hired Labor</t>
  </si>
  <si>
    <t>Miscellaneous (dues, legal, accounting, travel, education, etc.)</t>
  </si>
  <si>
    <t>TOTAL VARIABLE COSTS</t>
  </si>
  <si>
    <t>VARIABLE (Operating) COSTS</t>
  </si>
  <si>
    <t>Insurance</t>
  </si>
  <si>
    <t>TOTAL FIXED COSTS</t>
  </si>
  <si>
    <t>TOTAL VARIABLE &amp; FIXED COSTS</t>
  </si>
  <si>
    <t>Operator management</t>
  </si>
  <si>
    <t>$/unit</t>
  </si>
  <si>
    <t>c.w.t.</t>
  </si>
  <si>
    <t>head</t>
  </si>
  <si>
    <t>$</t>
  </si>
  <si>
    <t>acres</t>
  </si>
  <si>
    <t>Costs</t>
  </si>
  <si>
    <t>Item</t>
  </si>
  <si>
    <t>Total</t>
  </si>
  <si>
    <t>Market Value</t>
  </si>
  <si>
    <t>Useful Life (yrs)</t>
  </si>
  <si>
    <t>Annual % cow death loss</t>
  </si>
  <si>
    <t>Quantity</t>
  </si>
  <si>
    <t>cwt</t>
  </si>
  <si>
    <t>%</t>
  </si>
  <si>
    <t>years</t>
  </si>
  <si>
    <t>Fertilizer</t>
  </si>
  <si>
    <t xml:space="preserve"> </t>
  </si>
  <si>
    <t>Hay (managed)</t>
  </si>
  <si>
    <t>Mixed forest (no touch)</t>
  </si>
  <si>
    <t>Mixed forest (managed)</t>
  </si>
  <si>
    <t>Installation Costs</t>
  </si>
  <si>
    <t>Hay seed</t>
  </si>
  <si>
    <t>Tree/shrub Seedling &amp; Planting</t>
  </si>
  <si>
    <t>GROSS INCOME</t>
  </si>
  <si>
    <t>TOTAL GROSS INCOME</t>
  </si>
  <si>
    <t>TOTAL COSTS</t>
  </si>
  <si>
    <t>NET PROJECTED RETURNS</t>
  </si>
  <si>
    <t xml:space="preserve">Site Preparation </t>
  </si>
  <si>
    <t>Maintenance Costs</t>
  </si>
  <si>
    <t>Shrub (no touch)</t>
  </si>
  <si>
    <t>Buffer Type</t>
  </si>
  <si>
    <t>Buffer Gross Income</t>
  </si>
  <si>
    <t>Installation Cost Share Payment</t>
  </si>
  <si>
    <t>Hay Yield</t>
  </si>
  <si>
    <t>One-time sign-up bonus</t>
  </si>
  <si>
    <t>Explanation</t>
  </si>
  <si>
    <t>Source</t>
  </si>
  <si>
    <t>ton</t>
  </si>
  <si>
    <t>Hour</t>
  </si>
  <si>
    <t>lb.</t>
  </si>
  <si>
    <t>Sub Total</t>
  </si>
  <si>
    <t>Total Investment</t>
  </si>
  <si>
    <t>Insurance rate on Capital Equipment and Buildings</t>
  </si>
  <si>
    <t>Repairs</t>
  </si>
  <si>
    <t>Fuel/Oil</t>
  </si>
  <si>
    <t xml:space="preserve">Total </t>
  </si>
  <si>
    <t>TOTALS</t>
  </si>
  <si>
    <t>Property Tax rate</t>
  </si>
  <si>
    <t>Explanation/Source of Information</t>
  </si>
  <si>
    <t xml:space="preserve">Owner's management fee </t>
  </si>
  <si>
    <t>hours</t>
  </si>
  <si>
    <t>Herd</t>
  </si>
  <si>
    <t>Management and Labor</t>
  </si>
  <si>
    <t>acre</t>
  </si>
  <si>
    <t>Enter 0 if no land is leased</t>
  </si>
  <si>
    <t>Capital and Land</t>
  </si>
  <si>
    <t>Type 1</t>
  </si>
  <si>
    <t>Type 2</t>
  </si>
  <si>
    <t>Type 3</t>
  </si>
  <si>
    <t>Amount</t>
  </si>
  <si>
    <t>lineal feet</t>
  </si>
  <si>
    <t>Acres</t>
  </si>
  <si>
    <t>Total acreage in buffer</t>
  </si>
  <si>
    <t>check</t>
  </si>
  <si>
    <t>grass seed</t>
  </si>
  <si>
    <t xml:space="preserve"> (1) 25 lb. Bag/acre @39.00/bag</t>
  </si>
  <si>
    <t>CENEX</t>
  </si>
  <si>
    <t>Seedling protectors + installation</t>
  </si>
  <si>
    <t>trees/acre</t>
  </si>
  <si>
    <t>NRCS 2003 Cost List</t>
  </si>
  <si>
    <t>Light thin (&lt;300 tpa)</t>
  </si>
  <si>
    <t>herbicide application or hand slash</t>
  </si>
  <si>
    <t>Tree thinning cost</t>
  </si>
  <si>
    <t>Assumed to be one-time costs</t>
  </si>
  <si>
    <t>Mowing (grass)</t>
  </si>
  <si>
    <t>Sign-Up or other one-time bonus</t>
  </si>
  <si>
    <t>Years</t>
  </si>
  <si>
    <t xml:space="preserve">grass strip </t>
  </si>
  <si>
    <t xml:space="preserve">  Installation Cost Share Payment</t>
  </si>
  <si>
    <t xml:space="preserve">  Sign-Up or other one-time bonus</t>
  </si>
  <si>
    <t xml:space="preserve">  Timber harvest income (stumpage)</t>
  </si>
  <si>
    <t xml:space="preserve">  Tree/shrub Seedling &amp; Planting</t>
  </si>
  <si>
    <t xml:space="preserve">  Fertilizer</t>
  </si>
  <si>
    <t xml:space="preserve">  Site Preparation </t>
  </si>
  <si>
    <t xml:space="preserve">  Fencing + installation (incl. Gates)</t>
  </si>
  <si>
    <t xml:space="preserve">  Install new livestock water access/drinking facilities</t>
  </si>
  <si>
    <t xml:space="preserve">  Land Rental Cost Share Payment</t>
  </si>
  <si>
    <t>Buffer Total Gross Income</t>
  </si>
  <si>
    <t>Buffer Budget Summary</t>
  </si>
  <si>
    <t>Annual or Recurring Buffer Costs</t>
  </si>
  <si>
    <t>Herd Size:</t>
  </si>
  <si>
    <t>Multi-Zone Buffer Builder (a.k.a. "Build Your Own Buffers")</t>
  </si>
  <si>
    <t>Farm Machinery Compliment**</t>
  </si>
  <si>
    <t>Purchase Price US$ (Unit)</t>
  </si>
  <si>
    <t>Resource Consulting</t>
  </si>
  <si>
    <t>Into The Annual Budgeting Process</t>
  </si>
  <si>
    <t>Wash Ag Stats Snohomish County 4 year average 1998-2001</t>
  </si>
  <si>
    <t>This number auto-calculates if you put a number in the cell above it.</t>
  </si>
  <si>
    <t>FARM AND BUFFER INPUT PRICES</t>
  </si>
  <si>
    <t>FARM ASSUMPTIONS</t>
  </si>
  <si>
    <t>BUFFER ASSUMPTIONS</t>
  </si>
  <si>
    <t>used for discounting future costs and revenues back to present time</t>
  </si>
  <si>
    <t>Typical western Washington practice</t>
  </si>
  <si>
    <t>Site Preparation (buffer)</t>
  </si>
  <si>
    <t>Farmland market value</t>
  </si>
  <si>
    <t xml:space="preserve">  Other Feed Item #1</t>
  </si>
  <si>
    <t xml:space="preserve">  Other Feed Item #2</t>
  </si>
  <si>
    <t>R E G I O N   1: Puget Sound</t>
  </si>
  <si>
    <t>Change</t>
  </si>
  <si>
    <t>month</t>
  </si>
  <si>
    <t>year</t>
  </si>
  <si>
    <t>Species</t>
  </si>
  <si>
    <t>High</t>
  </si>
  <si>
    <t>Avg</t>
  </si>
  <si>
    <t>Low</t>
  </si>
  <si>
    <t>to date</t>
  </si>
  <si>
    <t>DOUGLAS-FIR/EXPORT</t>
  </si>
  <si>
    <t>RED CEDAR</t>
  </si>
  <si>
    <t>Japan 12"</t>
  </si>
  <si>
    <t>#3 Sawmill</t>
  </si>
  <si>
    <t>Japan 8"</t>
  </si>
  <si>
    <t>#4 Sawmill</t>
  </si>
  <si>
    <t>China 12 High</t>
  </si>
  <si>
    <t>China 12 Low</t>
  </si>
  <si>
    <t>RED ALDER</t>
  </si>
  <si>
    <t>Korea 8</t>
  </si>
  <si>
    <t>#2 Sawmill</t>
  </si>
  <si>
    <t>DOUGLAS-FIR/DOMESTIC</t>
  </si>
  <si>
    <t>Pulp</t>
  </si>
  <si>
    <t>Pulp, $/ton</t>
  </si>
  <si>
    <t>--</t>
  </si>
  <si>
    <t>MAPLE</t>
  </si>
  <si>
    <t>Chip &amp; Saw 5"</t>
  </si>
  <si>
    <t>Chip &amp; Saw, $/ton</t>
  </si>
  <si>
    <t>WHITEWOODS/EXPORT</t>
  </si>
  <si>
    <t>COTTONWOOD</t>
  </si>
  <si>
    <t>China 12</t>
  </si>
  <si>
    <t>WHITEWOODS/DOMESTIC</t>
  </si>
  <si>
    <t>Farmland assessed value</t>
  </si>
  <si>
    <t>Other:</t>
  </si>
  <si>
    <t xml:space="preserve">  Other:</t>
  </si>
  <si>
    <t>Property taxes on bldgs, equip and land</t>
  </si>
  <si>
    <t>Equipment Operating Costs: Taxes, Repairs and Fuel</t>
  </si>
  <si>
    <t>Interest on operating capital</t>
  </si>
  <si>
    <t>Special assessments/fees (i.e. drain/dike)</t>
  </si>
  <si>
    <t>Type 9</t>
  </si>
  <si>
    <t xml:space="preserve">Type 4 </t>
  </si>
  <si>
    <t>Type 5</t>
  </si>
  <si>
    <t>Number of buffer acres no-touch</t>
  </si>
  <si>
    <t>Number of buffer acres managed or accessible</t>
  </si>
  <si>
    <t>3) Select treatment for Type 1 watercourses</t>
  </si>
  <si>
    <t>Buffer Acreage Summary</t>
  </si>
  <si>
    <t>Setback (no-touch, no planting)</t>
  </si>
  <si>
    <t>Weed control in buffer area</t>
  </si>
  <si>
    <t>Fencing</t>
  </si>
  <si>
    <t>Lineal Ft.</t>
  </si>
  <si>
    <t>Sub Total Buffer Revenues</t>
  </si>
  <si>
    <t>Buffer Revenues</t>
  </si>
  <si>
    <t>Sub Total Buffer Costs</t>
  </si>
  <si>
    <t xml:space="preserve">Buffer Costs </t>
  </si>
  <si>
    <t xml:space="preserve">  Mowing (grass)</t>
  </si>
  <si>
    <t xml:space="preserve">  First Pruning (trees)</t>
  </si>
  <si>
    <t xml:space="preserve">  Second Pruning (trees)</t>
  </si>
  <si>
    <t xml:space="preserve">  Thinning (trees)</t>
  </si>
  <si>
    <t>Total Buffer NET Revenues (Costs)</t>
  </si>
  <si>
    <t>Year**</t>
  </si>
  <si>
    <t>Total (PV)***</t>
  </si>
  <si>
    <t>Data Source/Comments</t>
  </si>
  <si>
    <t>Cost range $500-1,200/acre, Includes brush clearing, weed control, hygrotilling.  Sources: NRCS Greg Fisher, Al Craney, Skagit CD</t>
  </si>
  <si>
    <t xml:space="preserve">Planting density 500 trees per acre; costs range from $400-$1500 per acre depending on the type and size of seeding stock used. Sources: NRCS Greg Fisher, Jenny Baker, Snohomish CD </t>
  </si>
  <si>
    <t>Cost Range: $400-$735.  Total amount includes tubing, stakes and installation labor.  Sources: NRCS Greg Fisher, Jenny Baker, Snohomish CD</t>
  </si>
  <si>
    <t>Subtotal Installation Costs</t>
  </si>
  <si>
    <t>mechanical/hand/chemical; Range: $300- $700/acre Source:  Tim Miller, WSU Mt. Vernon</t>
  </si>
  <si>
    <t>Assumes 10% tree mortality</t>
  </si>
  <si>
    <t>Subtotal Maintenance Costs</t>
  </si>
  <si>
    <t>Total Buffer Cost****</t>
  </si>
  <si>
    <t>**Year or years in which the income or cost occurs</t>
  </si>
  <si>
    <t>*** In the event the income or cost is recurrent over more than one year  future revenues and costs are converted to their Present Value</t>
  </si>
  <si>
    <t>^Tree mortality caused by wildlife browsing, drought, flood and storm damage</t>
  </si>
  <si>
    <t>**** This represents the AVERAGE costs of buffer installation and maintenance.  Actual costs can be much higher or lower depending on specific site conditions.  Where available, the range of costs for certain practices has been noted in the data source/comments column.</t>
  </si>
  <si>
    <t>Thinning revenue</t>
  </si>
  <si>
    <t>Hardwood timber revenue</t>
  </si>
  <si>
    <t>MBF</t>
  </si>
  <si>
    <t>Coniferous timber revenue</t>
  </si>
  <si>
    <t>Total Buffer Gross Income</t>
  </si>
  <si>
    <t>Thinning</t>
  </si>
  <si>
    <t>Shrub Seedling &amp; Planting</t>
  </si>
  <si>
    <t>Planting density 500 shrubs per acre; costs range from $200-$750 per acre depending on the type and size of plant stock used. Sources: shrub stock assumed to be half the cost of CREP planting stock.</t>
  </si>
  <si>
    <t>Shrub protectors + installation</t>
  </si>
  <si>
    <t>Cost Range: $400-$735 per acre for 500 plants.  Total amount includes tubing, stakes and installation labor.  Sources: NRCS Greg Fisher, Jenny Baker, Snohomish CD.  Assume 2/3 of stock would be tubed.</t>
  </si>
  <si>
    <t>Assumes 7% shrub mortality</t>
  </si>
  <si>
    <t>^Shrub mortality caused by wildlife browsing, drought, flood and storm damage</t>
  </si>
  <si>
    <t>Survey and Stake buffer area</t>
  </si>
  <si>
    <t xml:space="preserve">Weed Control </t>
  </si>
  <si>
    <t>Indefinite</t>
  </si>
  <si>
    <t>mechanical/hand/chemical Range: $300-700/acre</t>
  </si>
  <si>
    <t>**Year in which the income or cost occurs</t>
  </si>
  <si>
    <t>Hay revenue</t>
  </si>
  <si>
    <t>Sub-total Buffer Total Gross Income</t>
  </si>
  <si>
    <t>Installation Costs^</t>
  </si>
  <si>
    <t>Site Preparation (Brush clearing, initial weed control)</t>
  </si>
  <si>
    <t>Range $500-$1,200, Al Craney, Skagit CD</t>
  </si>
  <si>
    <t>Tillage (labor and equipment)</t>
  </si>
  <si>
    <t>Seed</t>
  </si>
  <si>
    <t>Harvest</t>
  </si>
  <si>
    <t>Mow twice/year @ 50.00/acre each time</t>
  </si>
  <si>
    <t xml:space="preserve">  Other Cost(s)</t>
  </si>
  <si>
    <t xml:space="preserve">  Survey and Stake buffer area</t>
  </si>
  <si>
    <t xml:space="preserve">  Grass Filter strip installation</t>
  </si>
  <si>
    <t xml:space="preserve">  Seedling/shrub protectors + installation</t>
  </si>
  <si>
    <t xml:space="preserve">  Weed Control </t>
  </si>
  <si>
    <t>First Pruning</t>
  </si>
  <si>
    <t>Second Pruning</t>
  </si>
  <si>
    <t xml:space="preserve">  Timber thinning income </t>
  </si>
  <si>
    <t>Annual Equivalent Buffer Revenues</t>
  </si>
  <si>
    <t>Annual Equivalent Buffer Costs (annualized)</t>
  </si>
  <si>
    <t>Total Annual Equivalent Revenue (Cost)</t>
  </si>
  <si>
    <t>Annualized Revenues (Costs) over 15 Years</t>
  </si>
  <si>
    <t>Annualized Revenues (Costs) over 25 Years</t>
  </si>
  <si>
    <t>Annualized Revenues (Costs) over 50 Years</t>
  </si>
  <si>
    <t>PV</t>
  </si>
  <si>
    <t>Sohngen et al, 1999</t>
  </si>
  <si>
    <t>Interest rate on Capital Investments</t>
  </si>
  <si>
    <t>Annual Land Rental Cost Share Payment</t>
  </si>
  <si>
    <t>**Year(s) in which the income or cost occurs</t>
  </si>
  <si>
    <t>Installation cost share</t>
  </si>
  <si>
    <t>Maintenance Cost Share Payment</t>
  </si>
  <si>
    <t>Maintenance cost share</t>
  </si>
  <si>
    <t>Assumption</t>
  </si>
  <si>
    <t>(Y/N)</t>
  </si>
  <si>
    <t xml:space="preserve"> '1' if yes or '0' if no </t>
  </si>
  <si>
    <t>This should be a per-ACRE amount</t>
  </si>
  <si>
    <t>Cost share program contract length</t>
  </si>
  <si>
    <t>Mowing cost</t>
  </si>
  <si>
    <t>Integrating Riparian Area Income and Costs</t>
  </si>
  <si>
    <t>FEDERAL-STATE COST SHARING PROGRAM ASSUMPTIONS</t>
  </si>
  <si>
    <r>
      <t xml:space="preserve">2) </t>
    </r>
    <r>
      <rPr>
        <sz val="11"/>
        <rFont val="Arial"/>
        <family val="2"/>
      </rPr>
      <t>Of the total in 1), how many lineal feet will require fencing?:</t>
    </r>
  </si>
  <si>
    <t xml:space="preserve">Fencing cost per lineal foot: </t>
  </si>
  <si>
    <t>4) Select treatment for Type 2 watercourses</t>
  </si>
  <si>
    <t>5) Select treatment for Type 3 watercourses</t>
  </si>
  <si>
    <t>6) Select treatment for Type 4 watercourses</t>
  </si>
  <si>
    <t>7) Select treatment for Type 5 watercourses</t>
  </si>
  <si>
    <t>8) Select treatment for Type 9 watercourses</t>
  </si>
  <si>
    <t>this is the PER ACRE value used to assess property taxes (based on Sno County Assessor appraisal of your farm)</t>
  </si>
  <si>
    <t>Hours of owner/family labor PER YEAR</t>
  </si>
  <si>
    <t>Total buffer width and acreage Type 1 watercourses</t>
  </si>
  <si>
    <t>Total buffer width and acreage Type 2 watercourses</t>
  </si>
  <si>
    <t>Total buffer width and acreage Type 3 watercourses</t>
  </si>
  <si>
    <t>Total buffer width and acreage Type 4 watercourses</t>
  </si>
  <si>
    <t>Total buffer width and acreage Type 5 watercourses</t>
  </si>
  <si>
    <t>Total buffer width and acreage Type 9 watercourses</t>
  </si>
  <si>
    <t>Over how many years do you want to annualize the costs of the buffer?</t>
  </si>
  <si>
    <t>Avg Width (ft.)</t>
  </si>
  <si>
    <t>Herd size</t>
  </si>
  <si>
    <t>* For the purpose of this exercise, it is assumed that the buffer is a forested buffer planted to current state standards for CREP buffers, including mixed native species plantings at a density of 500 trees per acre. Existing weeds are removed at establishment and controlled for the first 5 years.  Re-establishment of trees that died after planting occurs in the second year.  Interest rate used to calculate Present Value of future revenues and costs is indicated in the Farm and Buffer Assumptions worksheet.</t>
  </si>
  <si>
    <t>PER ACRE Buffer Budgets (seven different buffer types)</t>
  </si>
  <si>
    <t>Type either 10, 15,25, or 50 in the box to the left. If you do not choose one of these four numbers, the Budget With Buffer will not calculate correctly.</t>
  </si>
  <si>
    <t>Currently this is between 200% and 210% (March 2003)</t>
  </si>
  <si>
    <t>Tree seedling planting density</t>
  </si>
  <si>
    <t>tons/acre/year</t>
  </si>
  <si>
    <t>Grass Silage yield</t>
  </si>
  <si>
    <t>$/acre</t>
  </si>
  <si>
    <t>brush clearing + hygrotill + before and after herbicide spray</t>
  </si>
  <si>
    <t>NRCS 2003 Cost List; Greg Fisher; Al Craney (Skagit CD)</t>
  </si>
  <si>
    <t>acre/yr</t>
  </si>
  <si>
    <t>includes average of 4 harvests per year</t>
  </si>
  <si>
    <t>Harvest 4 times per year.  Total ANNUAL harvest cost per acre is $160.00</t>
  </si>
  <si>
    <t>Cash Flow</t>
  </si>
  <si>
    <t>Income</t>
  </si>
  <si>
    <t>Net</t>
  </si>
  <si>
    <t>Installation Cost</t>
  </si>
  <si>
    <t>Maintenance Cost</t>
  </si>
  <si>
    <t xml:space="preserve">  Install Cost Share</t>
  </si>
  <si>
    <t xml:space="preserve">  Maint Cost Share</t>
  </si>
  <si>
    <t xml:space="preserve">  Land Rental Pmt</t>
  </si>
  <si>
    <t xml:space="preserve">  Sign Up Bonus</t>
  </si>
  <si>
    <t>only options are 10 or 15 years</t>
  </si>
  <si>
    <t>Annual land rental rate</t>
  </si>
  <si>
    <t>Assume no maintenance cost or cost-sharing in the year of installation.</t>
  </si>
  <si>
    <t>Year</t>
  </si>
  <si>
    <r>
      <t>NPV</t>
    </r>
    <r>
      <rPr>
        <vertAlign val="subscript"/>
        <sz val="10"/>
        <rFont val="Arial"/>
        <family val="2"/>
      </rPr>
      <t>20</t>
    </r>
  </si>
  <si>
    <r>
      <t>NPV</t>
    </r>
    <r>
      <rPr>
        <vertAlign val="subscript"/>
        <sz val="10"/>
        <rFont val="Arial"/>
        <family val="2"/>
      </rPr>
      <t>30</t>
    </r>
  </si>
  <si>
    <r>
      <t>NPV</t>
    </r>
    <r>
      <rPr>
        <vertAlign val="subscript"/>
        <sz val="10"/>
        <rFont val="Arial"/>
        <family val="2"/>
      </rPr>
      <t>40</t>
    </r>
  </si>
  <si>
    <r>
      <t>NPV</t>
    </r>
    <r>
      <rPr>
        <vertAlign val="subscript"/>
        <sz val="10"/>
        <rFont val="Arial"/>
        <family val="2"/>
      </rPr>
      <t>50</t>
    </r>
  </si>
  <si>
    <r>
      <t>NPV</t>
    </r>
    <r>
      <rPr>
        <vertAlign val="subscript"/>
        <sz val="10"/>
        <rFont val="Arial"/>
        <family val="2"/>
      </rPr>
      <t>60</t>
    </r>
  </si>
  <si>
    <r>
      <t>NPV</t>
    </r>
    <r>
      <rPr>
        <vertAlign val="subscript"/>
        <sz val="10"/>
        <rFont val="Arial"/>
        <family val="2"/>
      </rPr>
      <t>70</t>
    </r>
  </si>
  <si>
    <r>
      <t>NPV</t>
    </r>
    <r>
      <rPr>
        <vertAlign val="subscript"/>
        <sz val="10"/>
        <rFont val="Arial"/>
        <family val="2"/>
      </rPr>
      <t>80</t>
    </r>
  </si>
  <si>
    <r>
      <t>NPV</t>
    </r>
    <r>
      <rPr>
        <vertAlign val="subscript"/>
        <sz val="10"/>
        <rFont val="Arial"/>
        <family val="2"/>
      </rPr>
      <t>90</t>
    </r>
  </si>
  <si>
    <r>
      <t>NPV</t>
    </r>
    <r>
      <rPr>
        <vertAlign val="subscript"/>
        <sz val="10"/>
        <rFont val="Arial"/>
        <family val="2"/>
      </rPr>
      <t>100</t>
    </r>
  </si>
  <si>
    <t xml:space="preserve">  Hay revenue</t>
  </si>
  <si>
    <t xml:space="preserve">  Is there an annual land rental payment?</t>
  </si>
  <si>
    <t xml:space="preserve">  Is there a one-time sign-up bonus?</t>
  </si>
  <si>
    <t xml:space="preserve">  Is there installation cost share support?</t>
  </si>
  <si>
    <t xml:space="preserve">  Is there maintenance cost share support?</t>
  </si>
  <si>
    <t xml:space="preserve">1' if yes or '0' if no </t>
  </si>
  <si>
    <t>Grass Silage revenue</t>
  </si>
  <si>
    <t>Harvest costs (hay &amp; grass silage)</t>
  </si>
  <si>
    <t xml:space="preserve">  Grass Silage revenue</t>
  </si>
  <si>
    <t>Tilling occurs every four years after initial establishment</t>
  </si>
  <si>
    <t>Grass is reseeded every 4 years after initial establishment</t>
  </si>
  <si>
    <t xml:space="preserve">* For the purpose of this exercise, it is assumed that the buffer is planted with grass for silage and green chop.  Site preparation is followed by conventional tilling, fertilizer and seeding.  The grass is re-seeded every four years and fertilized each year in the spring.  </t>
  </si>
  <si>
    <t>Buffer Net Present Value</t>
  </si>
  <si>
    <t>Harvest 4 times per year @ 40.00 per acre each time.  Assume no harvest first year.</t>
  </si>
  <si>
    <t>Years of maintenance paid by the program for forest/shrub buffers</t>
  </si>
  <si>
    <t>Years of maintenance paid by the program for setback/grass/hay buffers</t>
  </si>
  <si>
    <t>Grass Silage (managed)</t>
  </si>
  <si>
    <t>Grass filterstrip (no harvest)</t>
  </si>
  <si>
    <t xml:space="preserve">* For the purpose of this exercise, it is assumed that the buffer is a no-touch shrub buffer including mixed native species plantings at a density of 500 shrubs per acre. Existing weeds are removed at establishment and controlled for the first 5 years.  Re-establishment of shrubs that died after planting occurs in the second year. </t>
  </si>
  <si>
    <t>* For the purpose of this exercise, it is assumed that the buffer is a forested buffer planted to current state standards for CREP buffers, including mixed native species planted at a density of 500 trees per acre. Existing weeds are removed at establishment and controlled for the first 5 years.  Re-establishment of trees that died after planting occurs in the second year.  Interest rate used to calculate Present Value of future revenues and costs is indicated in the Farm &amp; Buffer Assumptions worksheet.</t>
  </si>
  <si>
    <r>
      <t xml:space="preserve">Cost sharing available for </t>
    </r>
    <r>
      <rPr>
        <b/>
        <sz val="14"/>
        <color indexed="12"/>
        <rFont val="Arial"/>
        <family val="2"/>
      </rPr>
      <t>grass silage</t>
    </r>
    <r>
      <rPr>
        <b/>
        <sz val="12"/>
        <rFont val="Arial"/>
        <family val="2"/>
      </rPr>
      <t xml:space="preserve"> buffers?</t>
    </r>
  </si>
  <si>
    <r>
      <t xml:space="preserve">Cost sharing available for </t>
    </r>
    <r>
      <rPr>
        <b/>
        <sz val="14"/>
        <color indexed="12"/>
        <rFont val="Arial"/>
        <family val="2"/>
      </rPr>
      <t>mixed forest</t>
    </r>
    <r>
      <rPr>
        <b/>
        <sz val="12"/>
        <rFont val="Arial"/>
        <family val="2"/>
      </rPr>
      <t xml:space="preserve"> (managed) buffers?</t>
    </r>
  </si>
  <si>
    <r>
      <t xml:space="preserve">Cost sharing available for </t>
    </r>
    <r>
      <rPr>
        <b/>
        <sz val="14"/>
        <color indexed="12"/>
        <rFont val="Arial"/>
        <family val="2"/>
      </rPr>
      <t>mixed forest</t>
    </r>
    <r>
      <rPr>
        <b/>
        <sz val="12"/>
        <rFont val="Arial"/>
        <family val="2"/>
      </rPr>
      <t xml:space="preserve"> no-touch buffers?</t>
    </r>
  </si>
  <si>
    <r>
      <t xml:space="preserve">Cost sharing available for </t>
    </r>
    <r>
      <rPr>
        <b/>
        <sz val="14"/>
        <color indexed="12"/>
        <rFont val="Arial"/>
        <family val="2"/>
      </rPr>
      <t>shrub</t>
    </r>
    <r>
      <rPr>
        <b/>
        <sz val="12"/>
        <rFont val="Arial"/>
        <family val="2"/>
      </rPr>
      <t xml:space="preserve"> buffers?</t>
    </r>
  </si>
  <si>
    <r>
      <t xml:space="preserve">Cost sharing available for </t>
    </r>
    <r>
      <rPr>
        <b/>
        <sz val="14"/>
        <color indexed="12"/>
        <rFont val="Arial"/>
        <family val="2"/>
      </rPr>
      <t>hay</t>
    </r>
    <r>
      <rPr>
        <b/>
        <sz val="12"/>
        <rFont val="Arial"/>
        <family val="2"/>
      </rPr>
      <t xml:space="preserve"> buffers?</t>
    </r>
  </si>
  <si>
    <r>
      <t xml:space="preserve">Cost-sharing available for </t>
    </r>
    <r>
      <rPr>
        <b/>
        <sz val="14"/>
        <color indexed="12"/>
        <rFont val="Arial"/>
        <family val="2"/>
      </rPr>
      <t>grass filterstrips</t>
    </r>
    <r>
      <rPr>
        <b/>
        <sz val="12"/>
        <rFont val="Arial"/>
        <family val="2"/>
      </rPr>
      <t>?</t>
    </r>
  </si>
  <si>
    <r>
      <t xml:space="preserve">Cost Sharing available for </t>
    </r>
    <r>
      <rPr>
        <b/>
        <sz val="14"/>
        <color indexed="12"/>
        <rFont val="Arial"/>
        <family val="2"/>
      </rPr>
      <t>setbacks</t>
    </r>
    <r>
      <rPr>
        <b/>
        <sz val="12"/>
        <rFont val="Arial"/>
        <family val="2"/>
      </rPr>
      <t xml:space="preserve">? </t>
    </r>
  </si>
  <si>
    <t>Maintenance Cost Share Payment (weed control)</t>
  </si>
  <si>
    <t>Maintenance Cost Share Payment (re-planting)</t>
  </si>
  <si>
    <t>Re-planting trees/shrubs^</t>
  </si>
  <si>
    <t>Avg.= 1.90/tree incl. material and labor to plant, 500 trees per acre.</t>
  </si>
  <si>
    <t>NRCS Greg Fisher; Jenny Baker, Snohomish CD</t>
  </si>
  <si>
    <t>Cost Range: $400-$735 per acre.  Total amount includes tubing, stakes and installation labor.  Sources: NRCS Greg Fisher, Jenny Baker, Snohomish CD</t>
  </si>
  <si>
    <t xml:space="preserve">  Maint Cost Share (weed)</t>
  </si>
  <si>
    <t xml:space="preserve">  Maint Cost Share (replant)</t>
  </si>
  <si>
    <t>Maintenance Cost (weed)</t>
  </si>
  <si>
    <t>Maintenance Cost (replant)</t>
  </si>
  <si>
    <t>replant cost</t>
  </si>
  <si>
    <t>Maint cost share weeds</t>
  </si>
  <si>
    <t>Maint cost weeds</t>
  </si>
  <si>
    <t>Difference w/ my model</t>
  </si>
  <si>
    <t>**Year or period of years in which the income or cost occurs</t>
  </si>
  <si>
    <t>Re-planting shrubs^</t>
  </si>
  <si>
    <t>Install Costs</t>
  </si>
  <si>
    <t xml:space="preserve">* For the purpose of this exercise, it is assumed that the buffer is a no-touch setback.  No trees are planted.  For the purpose of calculating Present Values (PV) of on-going weed control, the buffer is assumed to be permanent.  Weeding expenses and cost sharing begin in the year the buffer is established.  </t>
  </si>
  <si>
    <t>Maint cost weeds (100 years worth)</t>
  </si>
  <si>
    <t>Check</t>
  </si>
  <si>
    <t>Maint cost share</t>
  </si>
  <si>
    <t>#2 Grass Filter Strip* Income and Costs  PER ACRE</t>
  </si>
  <si>
    <t>#1 Setback Buffer* Income and Costs PER ACRE</t>
  </si>
  <si>
    <t>#3 Hay Buffer* Income and Costs PER ACRE</t>
  </si>
  <si>
    <t>#4 Shrub Buffer* Income and Costs PER ACRE</t>
  </si>
  <si>
    <t>#5 Mixed Forest* Buffer Income and Costs (no-touch) PER ACRE</t>
  </si>
  <si>
    <t xml:space="preserve"> #6 Mixed Forest Buffer* Income and Costs (managed) PER ACRE</t>
  </si>
  <si>
    <t>#7 Grass Silage Buffer* Income and Costs PER ACRE</t>
  </si>
  <si>
    <r>
      <t>Maint cost (</t>
    </r>
    <r>
      <rPr>
        <b/>
        <sz val="10"/>
        <color indexed="10"/>
        <rFont val="Arial"/>
        <family val="2"/>
      </rPr>
      <t>100 Yrs</t>
    </r>
    <r>
      <rPr>
        <sz val="10"/>
        <rFont val="Arial"/>
        <family val="0"/>
      </rPr>
      <t>)</t>
    </r>
  </si>
  <si>
    <t xml:space="preserve">* For the purpose of this exercise, it is assumed that the buffer is a no-touch setback, in which the Guidelines for installing a NRCS Filter Strip are followed.  No trees are planted.  Existing weeds are removed at establishment and controlled through semi-annual mowing. For the purpose of calculating Present Value (PV) of mowing, the buffer is assumed to be permanent. No Maintenance costs are incurred in the first year. </t>
  </si>
  <si>
    <t>Maintenance/Operational Costs</t>
  </si>
  <si>
    <t>Maint cost share payment</t>
  </si>
  <si>
    <t>* For the purpose of this exercise, it is assumed that the buffer is planted with hay.  Site preparation is followed by conventional tilling, fertilizer and seeding.  The hay is re-seeded every four years and fertilized each year in the spring.  Four harvests per year are obtained.  No harvest is obtained in the first year.  Annual yield can be adjusted in the "Buffer Assumptions" Table in the "Farm &amp; Buffer Assumptions" worksheet.</t>
  </si>
  <si>
    <t>Subtotal Maintenance/Operations Costs</t>
  </si>
  <si>
    <t>Fertilizer is applied every year in the spring; Source: Ministry of Ag British Columbia</t>
  </si>
  <si>
    <t>Source: Ministry of Ag British Columbia</t>
  </si>
  <si>
    <t>Hay/grass seeding interval</t>
  </si>
  <si>
    <t xml:space="preserve">^All installation costs occur in the first year the buffer is established.  </t>
  </si>
  <si>
    <t>Maintenance/Operational Costs^^</t>
  </si>
  <si>
    <t>^^ It is assumed that maintenance cost sharing will not be available for this buffer type, since the maintenance costs are regular agricultural costs associated with producing a crop</t>
  </si>
  <si>
    <t xml:space="preserve">Maint cost share </t>
  </si>
  <si>
    <t>Maintenance/Operations Costs</t>
  </si>
  <si>
    <t>Maint/operational costs (100 yrs)</t>
  </si>
  <si>
    <t>Difference b/t My model and tne NPV analysis</t>
  </si>
  <si>
    <t>Difference b/t revenue and income in NPV Analysis</t>
  </si>
  <si>
    <t>NPV Analysis</t>
  </si>
  <si>
    <t>NPV Income is $154 less than my analysis</t>
  </si>
  <si>
    <t>Difference is due to infinite costs and revenues vs. costs and revenues over 100 years.</t>
  </si>
  <si>
    <t>NPV Costs are $93 less than in my analysis</t>
  </si>
  <si>
    <t>Grass Silage Revenue (100 years)</t>
  </si>
  <si>
    <t>BC Ministry of Ag</t>
  </si>
  <si>
    <t>Tilllage (labor and equipment)</t>
  </si>
  <si>
    <t>Maintenance/Operations Cost</t>
  </si>
  <si>
    <t>Fertilizer is applied every year in the spring; BC Ministry of Ag</t>
  </si>
  <si>
    <t>Maint/operational cost (100 yrs.)</t>
  </si>
  <si>
    <t>Tilling occurs every four years after initial establishment.</t>
  </si>
  <si>
    <t>Hay is reseeded every four years after establishment.</t>
  </si>
  <si>
    <t>Operational and Maintenance Costs</t>
  </si>
  <si>
    <t>Subtotal Operational and Maintenance Costs</t>
  </si>
  <si>
    <t xml:space="preserve">  Maint Cost Share (weed cont)</t>
  </si>
  <si>
    <t xml:space="preserve">  Thinning revenue</t>
  </si>
  <si>
    <t xml:space="preserve">  Softwood harvest income</t>
  </si>
  <si>
    <t xml:space="preserve">  Hardwood harvest income</t>
  </si>
  <si>
    <t xml:space="preserve">  Installation </t>
  </si>
  <si>
    <t xml:space="preserve">  Weed control</t>
  </si>
  <si>
    <t xml:space="preserve">  Replanting</t>
  </si>
  <si>
    <t>Hauling</t>
  </si>
  <si>
    <t>Farm Prices</t>
  </si>
  <si>
    <t>Buffer Prices</t>
  </si>
  <si>
    <t>Harvest costs (trees)</t>
  </si>
  <si>
    <t>Tree pruning cost (1st lift)</t>
  </si>
  <si>
    <t>Tree pruning cost (2nd lift)</t>
  </si>
  <si>
    <t>Hauling costs (trees)</t>
  </si>
  <si>
    <t>Merwin et al</t>
  </si>
  <si>
    <t>LOG LINES Log Price Reporting Service</t>
  </si>
  <si>
    <t>Telephone</t>
  </si>
  <si>
    <t>360 336-6850</t>
  </si>
  <si>
    <t>P.O. Box 2215</t>
  </si>
  <si>
    <t>Fax</t>
  </si>
  <si>
    <t>360 336-2624</t>
  </si>
  <si>
    <t>Mount Vernon, WA  98273</t>
  </si>
  <si>
    <t>E-mail</t>
  </si>
  <si>
    <t>loglines@fidalgo.net</t>
  </si>
  <si>
    <t>APRIL 2003</t>
  </si>
  <si>
    <t>Prices reported during the second half of March 2003 $/Mbf</t>
  </si>
  <si>
    <t>Hardwoods (RA and Maple)</t>
  </si>
  <si>
    <t>Douglas Fir (domestic)</t>
  </si>
  <si>
    <t>White woods (domestic)</t>
  </si>
  <si>
    <t xml:space="preserve">  Thinning</t>
  </si>
  <si>
    <t xml:space="preserve">  First Pruning</t>
  </si>
  <si>
    <t xml:space="preserve">  Second Pruning</t>
  </si>
  <si>
    <t xml:space="preserve">  Logging Hardwoods</t>
  </si>
  <si>
    <t xml:space="preserve">  Logging Softwoods</t>
  </si>
  <si>
    <t xml:space="preserve">  Hauling</t>
  </si>
  <si>
    <t>100 Yr CF Comparison</t>
  </si>
  <si>
    <t>100 Yr.  NPV Comparison</t>
  </si>
  <si>
    <t xml:space="preserve">  Maintenance Cost Share Payment</t>
  </si>
  <si>
    <t xml:space="preserve">  Hay income</t>
  </si>
  <si>
    <t>Hay income</t>
  </si>
  <si>
    <t xml:space="preserve">  Other Income #1</t>
  </si>
  <si>
    <t xml:space="preserve">  Other Income #2</t>
  </si>
  <si>
    <t xml:space="preserve">  Grass silage income</t>
  </si>
  <si>
    <t xml:space="preserve">  Seed (hay and grass silage)</t>
  </si>
  <si>
    <t xml:space="preserve">  Tillage Costs (buffer estab. Only)</t>
  </si>
  <si>
    <t xml:space="preserve">  Tillage costs (ongoing)</t>
  </si>
  <si>
    <t xml:space="preserve">  Harvest (hay, grass silage, timber)</t>
  </si>
  <si>
    <t xml:space="preserve">  Fence Repair &amp; Maintenance</t>
  </si>
  <si>
    <t xml:space="preserve">  Fertilizer (initial establishment of hay and grass buffers)</t>
  </si>
  <si>
    <t xml:space="preserve">  Hauling (hay, grass silage, timber)</t>
  </si>
  <si>
    <t>Current CREP standard</t>
  </si>
  <si>
    <t>Grass filter strip installation (NRCS practice 393)</t>
  </si>
  <si>
    <t>One Time and/or Installation Costs</t>
  </si>
  <si>
    <t>Trees and Shrub Planting</t>
  </si>
  <si>
    <t>Annualized Revenues (Costs) over 10 Years</t>
  </si>
  <si>
    <r>
      <t>1)</t>
    </r>
    <r>
      <rPr>
        <sz val="11"/>
        <rFont val="Arial"/>
        <family val="2"/>
      </rPr>
      <t xml:space="preserve"> How many lineal feet of riparian area will be included in the buffer enterprise?   Include footage on </t>
    </r>
    <r>
      <rPr>
        <b/>
        <i/>
        <sz val="11"/>
        <rFont val="Arial"/>
        <family val="2"/>
      </rPr>
      <t>both</t>
    </r>
    <r>
      <rPr>
        <sz val="11"/>
        <rFont val="Arial"/>
        <family val="2"/>
      </rPr>
      <t xml:space="preserve"> sides of a waterway if you own the property on both sides.  Select from the following stream types (enter 0 if you do not have that stream type): </t>
    </r>
  </si>
  <si>
    <t xml:space="preserve">1st Pruning </t>
  </si>
  <si>
    <t xml:space="preserve">2nd Pruning </t>
  </si>
  <si>
    <t xml:space="preserve">Thinning </t>
  </si>
  <si>
    <t xml:space="preserve">Timber Harvest </t>
  </si>
  <si>
    <t>Change this to "1" only if you intend to actively manage a forested buffer area</t>
  </si>
  <si>
    <t>Tree/Shrub Protectors</t>
  </si>
  <si>
    <t>Total acreage of Farmstead (Owned)</t>
  </si>
  <si>
    <t xml:space="preserve"> # of acres in production (Owned)</t>
  </si>
  <si>
    <t># of acres in production (Leased)</t>
  </si>
  <si>
    <t>% of Total Income</t>
  </si>
  <si>
    <t>% of Total Cost</t>
  </si>
  <si>
    <t>Steer calves</t>
  </si>
  <si>
    <t>Heifer calves</t>
  </si>
  <si>
    <t>Aged bull</t>
  </si>
  <si>
    <t>Cull cows</t>
  </si>
  <si>
    <t>Cull replacement heifer</t>
  </si>
  <si>
    <t>Chehalis Livestock Market Sept 26, 03</t>
  </si>
  <si>
    <t>Animal weights at time of sale</t>
  </si>
  <si>
    <t>Smathers et al 2002 Cow-Calf Budget</t>
  </si>
  <si>
    <t xml:space="preserve">Other cattle-related income: </t>
  </si>
  <si>
    <t>Head Operation</t>
  </si>
  <si>
    <t>Cow-Calf Operation Capital Investment and Equipment</t>
  </si>
  <si>
    <t>Buildings, Improvements &amp; Equipment</t>
  </si>
  <si>
    <t xml:space="preserve">  Fencing</t>
  </si>
  <si>
    <t xml:space="preserve">  Corral</t>
  </si>
  <si>
    <t xml:space="preserve">  Barn</t>
  </si>
  <si>
    <t xml:space="preserve">  Hay shed</t>
  </si>
  <si>
    <t xml:space="preserve">  Grain storage</t>
  </si>
  <si>
    <t xml:space="preserve">  Squeeze</t>
  </si>
  <si>
    <t xml:space="preserve">  Stock trailer</t>
  </si>
  <si>
    <t xml:space="preserve">  Gooseneck trailer</t>
  </si>
  <si>
    <t>Purchased Livestock</t>
  </si>
  <si>
    <t xml:space="preserve">  Bulls</t>
  </si>
  <si>
    <t xml:space="preserve">  Horses</t>
  </si>
  <si>
    <t>Retained Livestock</t>
  </si>
  <si>
    <t xml:space="preserve">  Cows</t>
  </si>
  <si>
    <t xml:space="preserve">  Replacement heifers</t>
  </si>
  <si>
    <t>Machinery and Vehicles</t>
  </si>
  <si>
    <t>Pickup 4x4 1 ton</t>
  </si>
  <si>
    <t>Salvage/Cull Value</t>
  </si>
  <si>
    <t>Interest rate on Operating Capital</t>
  </si>
  <si>
    <t>Annual Capital Recovery</t>
  </si>
  <si>
    <t>% calf crop</t>
  </si>
  <si>
    <t>% steer calves born each year</t>
  </si>
  <si>
    <t>% heifer calves born each year</t>
  </si>
  <si>
    <t>% of heifers kept as replacements</t>
  </si>
  <si>
    <t>% of replacement heifers culled (cull rate)</t>
  </si>
  <si>
    <t>Smathers et al 2003 (U of Idaho Budget)</t>
  </si>
  <si>
    <t>Cow annual cull rate</t>
  </si>
  <si>
    <t>Livestock Receipts</t>
  </si>
  <si>
    <t>Name</t>
  </si>
  <si>
    <t>Revenue</t>
  </si>
  <si>
    <t>Total Revenue</t>
  </si>
  <si>
    <t>Monthly Allocation Table for Livestock Receipts (number of animals):</t>
  </si>
  <si>
    <t>Jan</t>
  </si>
  <si>
    <t>Feb</t>
  </si>
  <si>
    <t>Mar</t>
  </si>
  <si>
    <t>Apr</t>
  </si>
  <si>
    <t>May</t>
  </si>
  <si>
    <t>Jun</t>
  </si>
  <si>
    <t>Jul</t>
  </si>
  <si>
    <t>Aug</t>
  </si>
  <si>
    <t>Sep</t>
  </si>
  <si>
    <t>Oct</t>
  </si>
  <si>
    <t>Nov</t>
  </si>
  <si>
    <t>Dec</t>
  </si>
  <si>
    <t>Units/Hd</t>
  </si>
  <si>
    <t>No. of Head</t>
  </si>
  <si>
    <t>% of sales</t>
  </si>
  <si>
    <t>Total per head</t>
  </si>
  <si>
    <t>Other cattle-related income</t>
  </si>
  <si>
    <t xml:space="preserve">  Alfalfa grass hay</t>
  </si>
  <si>
    <t xml:space="preserve">  Feed barley</t>
  </si>
  <si>
    <t xml:space="preserve">  Pasture</t>
  </si>
  <si>
    <t xml:space="preserve">  Crop aftermath</t>
  </si>
  <si>
    <t xml:space="preserve">  Salt</t>
  </si>
  <si>
    <t>AUM</t>
  </si>
  <si>
    <t>Livestock Budgets and Riparian Buffers:</t>
  </si>
  <si>
    <t xml:space="preserve">  Water system</t>
  </si>
  <si>
    <t>Checkoff/brand inspection</t>
  </si>
  <si>
    <t>Sales Commission</t>
  </si>
  <si>
    <t>Trucking/Freight (to market)</t>
  </si>
  <si>
    <t>Trucking to and from pasture</t>
  </si>
  <si>
    <t>Veterinary medicine</t>
  </si>
  <si>
    <t>Machinery (fuel, lube, repair)</t>
  </si>
  <si>
    <t>Vehicles (fuel, repair)</t>
  </si>
  <si>
    <t>Equipment (repair)</t>
  </si>
  <si>
    <t>Housing and improvements (repair)</t>
  </si>
  <si>
    <t>CASH FIXED COSTS</t>
  </si>
  <si>
    <t>NON-CASH FIXED COSTS</t>
  </si>
  <si>
    <t>Land Rent</t>
  </si>
  <si>
    <t xml:space="preserve">Annual Taxes </t>
  </si>
  <si>
    <t>Annual Insurance</t>
  </si>
  <si>
    <t>Fixed Cost Allocation for This Enterprise (%)</t>
  </si>
  <si>
    <t>Machine/ Vehicle Housing</t>
  </si>
  <si>
    <t xml:space="preserve">  Calf cradle</t>
  </si>
  <si>
    <t xml:space="preserve">  Vet equipment</t>
  </si>
  <si>
    <t>Fixed Costs</t>
  </si>
  <si>
    <t>Tractor (55 hp w/loader)</t>
  </si>
  <si>
    <t># of bulls purchased</t>
  </si>
  <si>
    <t>Bull replacement interval</t>
  </si>
  <si>
    <t># horses used in livestock enterprise</t>
  </si>
  <si>
    <t>Bulls</t>
  </si>
  <si>
    <t>Cow useful life</t>
  </si>
  <si>
    <t>Animal</t>
  </si>
  <si>
    <t>Alfalfa/Grass Hay (lbs. fed/day)</t>
  </si>
  <si>
    <t>Feed Barley (lbs.fed/day)</t>
  </si>
  <si>
    <t>Number of Days</t>
  </si>
  <si>
    <t>Replacement Heifers</t>
  </si>
  <si>
    <t>Cows</t>
  </si>
  <si>
    <t>Horses</t>
  </si>
  <si>
    <t>Feed Requirements PER ANIMAL</t>
  </si>
  <si>
    <t>Monthly Feed Requirements</t>
  </si>
  <si>
    <t>Feed</t>
  </si>
  <si>
    <t>Units</t>
  </si>
  <si>
    <t>April</t>
  </si>
  <si>
    <t>June</t>
  </si>
  <si>
    <t>July</t>
  </si>
  <si>
    <t>August</t>
  </si>
  <si>
    <t>September</t>
  </si>
  <si>
    <t>October</t>
  </si>
  <si>
    <t>November</t>
  </si>
  <si>
    <t>December</t>
  </si>
  <si>
    <t>Feed Barley</t>
  </si>
  <si>
    <t>Alfalfa grass hay</t>
  </si>
  <si>
    <t xml:space="preserve">  Replacement Heifers</t>
  </si>
  <si>
    <t>Pasture</t>
  </si>
  <si>
    <t>Crop aftermath</t>
  </si>
  <si>
    <t>Salt</t>
  </si>
  <si>
    <t>lb</t>
  </si>
  <si>
    <t>Replacement heifers also receive a barley supplement  December 1-April 30</t>
  </si>
  <si>
    <t>All animals are pastured between May 1 and October 30</t>
  </si>
  <si>
    <t xml:space="preserve">Herd Annual Flow Chart </t>
  </si>
  <si>
    <t>Herd Annual Flow</t>
  </si>
  <si>
    <t>Herd Size</t>
  </si>
  <si>
    <t>Calves</t>
  </si>
  <si>
    <t>Cows removed from herd</t>
  </si>
  <si>
    <t>Initial replacement heifers</t>
  </si>
  <si>
    <t>Cull replacement heifers</t>
  </si>
  <si>
    <t>Final Replacement heifers</t>
  </si>
  <si>
    <t>Annual Total</t>
  </si>
  <si>
    <t>Salt (lbs/animal/month)</t>
  </si>
  <si>
    <t>hour</t>
  </si>
  <si>
    <t>Grazing land rental rate</t>
  </si>
  <si>
    <t>Livestock:</t>
  </si>
  <si>
    <t xml:space="preserve">  Steer calves</t>
  </si>
  <si>
    <t xml:space="preserve">  Heifer calves</t>
  </si>
  <si>
    <t xml:space="preserve">  Aged bull</t>
  </si>
  <si>
    <t xml:space="preserve">  Cull cows</t>
  </si>
  <si>
    <t xml:space="preserve">  Cull replacement heifer</t>
  </si>
  <si>
    <t xml:space="preserve">  Stock horse</t>
  </si>
  <si>
    <t>Trucking/freight (to market)</t>
  </si>
  <si>
    <t>Price per acre sold as grazing land, not for other uses</t>
  </si>
  <si>
    <t>Fixed Costs Allocated To This Enterprise</t>
  </si>
  <si>
    <t>Annual capital recovery</t>
  </si>
  <si>
    <t>Machinery/vehicle housing</t>
  </si>
  <si>
    <t>Annual cost for pasture re-establishment</t>
  </si>
  <si>
    <t>Sales commission</t>
  </si>
  <si>
    <t>Percentage of total cull sales</t>
  </si>
  <si>
    <t>Hours or Miles of Use</t>
  </si>
  <si>
    <t>Fuel Consumption</t>
  </si>
  <si>
    <t>Variable operating costs this enterprise</t>
  </si>
  <si>
    <t>Cost allocation for this enterprise (%)</t>
  </si>
  <si>
    <t>Gasoline</t>
  </si>
  <si>
    <t>Diesel fuel</t>
  </si>
  <si>
    <t>gal.</t>
  </si>
  <si>
    <t>Hours of owner/family labor PER HEAD per year</t>
  </si>
  <si>
    <t>Hours of hired labor PER HEAD per year</t>
  </si>
  <si>
    <t>per animal</t>
  </si>
  <si>
    <t>Tractor (45 hp w/loader)</t>
  </si>
  <si>
    <t xml:space="preserve">  Purchased Livestock</t>
  </si>
  <si>
    <t>Interest on retained livestock</t>
  </si>
  <si>
    <t>Estimate the number of buffer acres that will be on leased land</t>
  </si>
  <si>
    <t xml:space="preserve">  Other Feed Item #1:</t>
  </si>
  <si>
    <t xml:space="preserve">  Other Feed Item #2:</t>
  </si>
  <si>
    <t xml:space="preserve">  Re-planting trees/shrubs</t>
  </si>
  <si>
    <t>Per Acre of Buffer</t>
  </si>
  <si>
    <t>Average Annual Buffer Revenues and Costs (Annual Equivalents)</t>
  </si>
  <si>
    <t>Not supposed to add up b/c sales commission</t>
  </si>
  <si>
    <t xml:space="preserve">  Housing, Improvements, Equipment</t>
  </si>
  <si>
    <t xml:space="preserve">  Machinery &amp; Vehicles</t>
  </si>
  <si>
    <t># of head</t>
  </si>
  <si>
    <t xml:space="preserve">Annual Equivalent Buffer Revenues </t>
  </si>
  <si>
    <t xml:space="preserve">Annual Equivalent Buffer Costs </t>
  </si>
  <si>
    <t>N fertilizer</t>
  </si>
  <si>
    <t>lbs/acre</t>
  </si>
  <si>
    <t>Assumes two applications per year, each 50 lbs./acre</t>
  </si>
  <si>
    <t>Grass Silage</t>
  </si>
  <si>
    <t>Wet tons; price received by grower</t>
  </si>
  <si>
    <t>Net return per acre in production</t>
  </si>
  <si>
    <t>Net buffer revenue (Cost) PER ACRE of buffer</t>
  </si>
  <si>
    <t>Sohngen et al, 1999; Henri, 2003</t>
  </si>
  <si>
    <t>Buffer Economic Impact Summary *</t>
  </si>
  <si>
    <t>Pre</t>
  </si>
  <si>
    <t>Post</t>
  </si>
  <si>
    <t>Buffer</t>
  </si>
  <si>
    <t>Productive Acreage (acres)</t>
  </si>
  <si>
    <t>Gross Income</t>
  </si>
  <si>
    <t>Variable Costs</t>
  </si>
  <si>
    <t>Enterprise Net Projected Return</t>
  </si>
  <si>
    <t>Buffer Statistics</t>
  </si>
  <si>
    <t>Acreage placed in buffer (acres)</t>
  </si>
  <si>
    <t>*All figures in US Dollars unless otherwise noted</t>
  </si>
  <si>
    <t>**PV = Present Value</t>
  </si>
  <si>
    <t>Economic impact on cow-calf enterprise</t>
  </si>
  <si>
    <t>Timber Prices</t>
  </si>
  <si>
    <t>($/MBF unless otherwise noted)</t>
  </si>
  <si>
    <t>Softwood Pulp</t>
  </si>
  <si>
    <t>Chip &amp; Saw ($/ton)</t>
  </si>
  <si>
    <t>Hardwood Pulp ($/ton)</t>
  </si>
  <si>
    <t>VOLUME XV: ISSUE #4 (April, 2003)</t>
  </si>
  <si>
    <t xml:space="preserve"> --Steers</t>
  </si>
  <si>
    <t xml:space="preserve"> --Heifers</t>
  </si>
  <si>
    <t>Net Returns to Owner Labor, Management and Land</t>
  </si>
  <si>
    <t>Owner labor</t>
  </si>
  <si>
    <t>Discount rate</t>
  </si>
  <si>
    <t>Owner/Operator management</t>
  </si>
  <si>
    <t xml:space="preserve">  Protein Supplement</t>
  </si>
  <si>
    <t>Check off/brand inspection</t>
  </si>
  <si>
    <t xml:space="preserve">Description of Scenario: </t>
  </si>
  <si>
    <t>6,500 lineal feet of stream TOTAL</t>
  </si>
  <si>
    <t>Cost Share:</t>
  </si>
  <si>
    <t>1,500 lineal feet of buffer will require fencing @ 2.00 per lineal foot</t>
  </si>
  <si>
    <t xml:space="preserve">Fixed costs per acre </t>
  </si>
  <si>
    <t>Farmland</t>
  </si>
  <si>
    <t>Total per Head</t>
  </si>
  <si>
    <t>Total net income/cost of buffer (PV)**</t>
  </si>
  <si>
    <t>Mixed Forest Buffer Harvest Schedule</t>
  </si>
  <si>
    <t>Red Alder Volume Assumptions:</t>
  </si>
  <si>
    <t>Volume per tree:</t>
  </si>
  <si>
    <t>Board feet</t>
  </si>
  <si>
    <t>20 yrs</t>
  </si>
  <si>
    <t>40 yrs</t>
  </si>
  <si>
    <t>60 yrs.</t>
  </si>
  <si>
    <t>Doug Fir Volume Assumptions:</t>
  </si>
  <si>
    <t>Board feet:</t>
  </si>
  <si>
    <t>35 years</t>
  </si>
  <si>
    <t>70 years</t>
  </si>
  <si>
    <t>105 years</t>
  </si>
  <si>
    <t>Species #3 Volume Assumptions:</t>
  </si>
  <si>
    <t>X years</t>
  </si>
  <si>
    <t>XX years</t>
  </si>
  <si>
    <t>XXX years</t>
  </si>
  <si>
    <t>Green weight per MBF in TONS</t>
  </si>
  <si>
    <t>Red Alder</t>
  </si>
  <si>
    <t>Doug Fir</t>
  </si>
  <si>
    <t>SPECIES #3</t>
  </si>
  <si>
    <t>Number of  Stems Harvested and Total Volume by Species</t>
  </si>
  <si>
    <t>Plant XXX stems</t>
  </si>
  <si>
    <t>Remaining stems</t>
  </si>
  <si>
    <t>DOUG FIR</t>
  </si>
  <si>
    <t>Plant500 stems</t>
  </si>
  <si>
    <t>Remaining Stems</t>
  </si>
  <si>
    <t>Board Feet RA</t>
  </si>
  <si>
    <t>Board Feet Doug Fir</t>
  </si>
  <si>
    <t>Board Feet Sp #3</t>
  </si>
  <si>
    <t>Income RA</t>
  </si>
  <si>
    <t>Income DF</t>
  </si>
  <si>
    <t>Income Sp #3</t>
  </si>
  <si>
    <t>Present Value of RA Income</t>
  </si>
  <si>
    <t>Present Value of DF Income</t>
  </si>
  <si>
    <t>Present Value of Sp #3 Income</t>
  </si>
  <si>
    <t>Logging &amp; Hauling Costs</t>
  </si>
  <si>
    <t>Weight in tons</t>
  </si>
  <si>
    <t xml:space="preserve">  Hardwoods</t>
  </si>
  <si>
    <t xml:space="preserve">  Doug Fir</t>
  </si>
  <si>
    <t>Logging cost</t>
  </si>
  <si>
    <t>Hauling cost</t>
  </si>
  <si>
    <t>Present Value of Logging costs</t>
  </si>
  <si>
    <t>Present Value of Hauling costs</t>
  </si>
  <si>
    <t>based on avg. 40 mile haul</t>
  </si>
  <si>
    <t>Log truck cos. Sno/Skagit Counties</t>
  </si>
  <si>
    <t>Quotes from local logging companies (Concrete and Mt. Vernon)</t>
  </si>
  <si>
    <t>Will any part of the forested buffer be managed for commercial timber production?</t>
  </si>
  <si>
    <t xml:space="preserve"> '1' if yes or '0' if no.  Change this to '1' only if you intend to actively manage part of the forested buffer area for commercial timber harvest.</t>
  </si>
  <si>
    <t>------</t>
  </si>
  <si>
    <t>Thinning done in year 15</t>
  </si>
  <si>
    <t>Harvest hardwood volume every 20 years</t>
  </si>
  <si>
    <t>Harvest softwood volume every 35 years</t>
  </si>
  <si>
    <t>Selective Logging</t>
  </si>
  <si>
    <t>20 &amp; 35</t>
  </si>
  <si>
    <r>
      <t>Maintenance Cost Share Payment</t>
    </r>
    <r>
      <rPr>
        <vertAlign val="superscript"/>
        <sz val="10"/>
        <rFont val="Arial"/>
        <family val="2"/>
      </rPr>
      <t xml:space="preserve"> </t>
    </r>
    <r>
      <rPr>
        <sz val="10"/>
        <rFont val="Arial"/>
        <family val="2"/>
      </rPr>
      <t>(weed control)</t>
    </r>
  </si>
  <si>
    <t xml:space="preserve">  Alfalfa </t>
  </si>
  <si>
    <r>
      <t xml:space="preserve">  </t>
    </r>
    <r>
      <rPr>
        <b/>
        <sz val="10"/>
        <rFont val="Arial"/>
        <family val="2"/>
      </rPr>
      <t>Feed cost</t>
    </r>
    <r>
      <rPr>
        <sz val="10"/>
        <rFont val="Arial"/>
        <family val="0"/>
      </rPr>
      <t xml:space="preserve"> increases due to buffer </t>
    </r>
  </si>
  <si>
    <t>Version 1.0</t>
  </si>
  <si>
    <t>December, 2003</t>
  </si>
  <si>
    <r>
      <t xml:space="preserve"> </t>
    </r>
    <r>
      <rPr>
        <b/>
        <sz val="10"/>
        <rFont val="Arial"/>
        <family val="2"/>
      </rPr>
      <t xml:space="preserve"> F</t>
    </r>
    <r>
      <rPr>
        <sz val="10"/>
        <rFont val="Arial"/>
        <family val="0"/>
      </rPr>
      <t>oregone income from the buffer area (acres occupied by buffer x net income loss per acre)</t>
    </r>
  </si>
  <si>
    <r>
      <t xml:space="preserve">  Foregone income from land made </t>
    </r>
    <r>
      <rPr>
        <b/>
        <sz val="10"/>
        <rFont val="Arial"/>
        <family val="2"/>
      </rPr>
      <t>spatially unviable</t>
    </r>
    <r>
      <rPr>
        <sz val="10"/>
        <rFont val="Arial"/>
        <family val="0"/>
      </rPr>
      <t xml:space="preserve"> by buffer</t>
    </r>
  </si>
  <si>
    <t>Farm Management Summary:</t>
  </si>
  <si>
    <t>Riparian area description:</t>
  </si>
  <si>
    <t>Riparian treatments:</t>
  </si>
  <si>
    <t>Buffer Commercial Management:</t>
  </si>
  <si>
    <t>None.</t>
  </si>
  <si>
    <t>Other Notes:</t>
  </si>
  <si>
    <t>100 head herd</t>
  </si>
  <si>
    <t xml:space="preserve">Total annualized net income/cost of buffer (PV) </t>
  </si>
  <si>
    <t>Total net income/cost per acre of buffer (PV)</t>
  </si>
  <si>
    <t>Owner Labor, Management Fee and Land Costs</t>
  </si>
  <si>
    <t xml:space="preserve">105 Acres owned, 100 acres in production, no land leased.  </t>
  </si>
  <si>
    <r>
      <t>Annualization Period for Buffer Income and Costs:</t>
    </r>
    <r>
      <rPr>
        <sz val="10"/>
        <rFont val="Arial"/>
        <family val="0"/>
      </rPr>
      <t xml:space="preserve"> 15 years</t>
    </r>
  </si>
  <si>
    <t>December 1 - April 30 All animals are fed a mixture of Alfalfa and grass hay</t>
  </si>
  <si>
    <r>
      <t>ANNUAL COW-CALF BUDGET Stillaguamish Valley (</t>
    </r>
    <r>
      <rPr>
        <b/>
        <i/>
        <sz val="16"/>
        <rFont val="Arial"/>
        <family val="2"/>
      </rPr>
      <t>without</t>
    </r>
    <r>
      <rPr>
        <b/>
        <sz val="16"/>
        <rFont val="Arial"/>
        <family val="2"/>
      </rPr>
      <t xml:space="preserve"> riparian buffers)</t>
    </r>
  </si>
  <si>
    <r>
      <t>ANNUAL COW-CALF BUDGET Stillaguamish Valley (</t>
    </r>
    <r>
      <rPr>
        <b/>
        <i/>
        <sz val="16"/>
        <rFont val="Arial"/>
        <family val="2"/>
      </rPr>
      <t>with</t>
    </r>
    <r>
      <rPr>
        <b/>
        <sz val="16"/>
        <rFont val="Arial"/>
        <family val="2"/>
      </rPr>
      <t xml:space="preserve"> riparian buffers)</t>
    </r>
  </si>
  <si>
    <t xml:space="preserve">   -- 6,500 lineal feet Type 1 stream w/ 15' existing buffer</t>
  </si>
  <si>
    <t xml:space="preserve">   Type 1: 35' CREP-style buffer</t>
  </si>
  <si>
    <t>Tractor (85 hp)</t>
  </si>
  <si>
    <t xml:space="preserve">  Manure spreader</t>
  </si>
  <si>
    <t>Empirical</t>
  </si>
  <si>
    <t>lbs. of N fertilizer applied each year in buffer area (silage &amp; hay buffer)</t>
  </si>
  <si>
    <t>Protein Supplement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</si>
</sst>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quot;#,##0.00;[Red]&quot;$&quot;#,##0.00"/>
    <numFmt numFmtId="167" formatCode="0.00_)"/>
    <numFmt numFmtId="168" formatCode="0.0"/>
    <numFmt numFmtId="169" formatCode="0.0%"/>
    <numFmt numFmtId="170" formatCode="#,##0.0"/>
    <numFmt numFmtId="171" formatCode="0_);[Red]\(0\)"/>
  </numFmts>
  <fonts count="64">
    <font>
      <sz val="10"/>
      <name val="Arial"/>
      <family val="0"/>
    </font>
    <font>
      <b/>
      <sz val="10"/>
      <name val="Arial"/>
      <family val="2"/>
    </font>
    <font>
      <b/>
      <sz val="14"/>
      <name val="Arial"/>
      <family val="2"/>
    </font>
    <font>
      <b/>
      <sz val="12"/>
      <name val="Arial"/>
      <family val="2"/>
    </font>
    <font>
      <b/>
      <i/>
      <sz val="10"/>
      <name val="Arial"/>
      <family val="2"/>
    </font>
    <font>
      <u val="single"/>
      <sz val="10"/>
      <color indexed="12"/>
      <name val="Arial"/>
      <family val="0"/>
    </font>
    <font>
      <u val="single"/>
      <sz val="10"/>
      <color indexed="36"/>
      <name val="Arial"/>
      <family val="0"/>
    </font>
    <font>
      <i/>
      <sz val="10"/>
      <name val="Arial"/>
      <family val="2"/>
    </font>
    <font>
      <sz val="10"/>
      <color indexed="12"/>
      <name val="Arial"/>
      <family val="2"/>
    </font>
    <font>
      <sz val="9"/>
      <name val="Times New Roman"/>
      <family val="1"/>
    </font>
    <font>
      <b/>
      <sz val="8"/>
      <name val="Tahoma"/>
      <family val="0"/>
    </font>
    <font>
      <vertAlign val="subscript"/>
      <sz val="10"/>
      <name val="Arial"/>
      <family val="2"/>
    </font>
    <font>
      <b/>
      <i/>
      <sz val="11"/>
      <name val="Arial"/>
      <family val="2"/>
    </font>
    <font>
      <b/>
      <i/>
      <sz val="14"/>
      <name val="Arial"/>
      <family val="2"/>
    </font>
    <font>
      <sz val="12"/>
      <name val="Arial"/>
      <family val="2"/>
    </font>
    <font>
      <b/>
      <i/>
      <sz val="12"/>
      <name val="Arial"/>
      <family val="2"/>
    </font>
    <font>
      <sz val="10"/>
      <color indexed="10"/>
      <name val="Arial"/>
      <family val="2"/>
    </font>
    <font>
      <sz val="10"/>
      <color indexed="8"/>
      <name val="Arial"/>
      <family val="2"/>
    </font>
    <font>
      <sz val="8"/>
      <name val="Times New Roman"/>
      <family val="1"/>
    </font>
    <font>
      <b/>
      <sz val="11"/>
      <name val="Times New Roman"/>
      <family val="1"/>
    </font>
    <font>
      <b/>
      <sz val="10"/>
      <name val="Times New Roman"/>
      <family val="1"/>
    </font>
    <font>
      <sz val="10"/>
      <name val="Times New Roman"/>
      <family val="1"/>
    </font>
    <font>
      <vertAlign val="superscript"/>
      <sz val="10"/>
      <name val="Arial"/>
      <family val="2"/>
    </font>
    <font>
      <b/>
      <sz val="11"/>
      <name val="Arial"/>
      <family val="2"/>
    </font>
    <font>
      <sz val="11"/>
      <name val="Arial"/>
      <family val="2"/>
    </font>
    <font>
      <i/>
      <sz val="12"/>
      <name val="Arial"/>
      <family val="2"/>
    </font>
    <font>
      <b/>
      <i/>
      <sz val="16"/>
      <name val="Arial"/>
      <family val="2"/>
    </font>
    <font>
      <b/>
      <sz val="16"/>
      <name val="Arial"/>
      <family val="2"/>
    </font>
    <font>
      <b/>
      <sz val="18"/>
      <name val="Arial"/>
      <family val="2"/>
    </font>
    <font>
      <sz val="8"/>
      <name val="Tahoma"/>
      <family val="0"/>
    </font>
    <font>
      <sz val="8"/>
      <name val="Arial"/>
      <family val="0"/>
    </font>
    <font>
      <b/>
      <sz val="14"/>
      <color indexed="12"/>
      <name val="Arial"/>
      <family val="2"/>
    </font>
    <font>
      <b/>
      <sz val="10"/>
      <color indexed="10"/>
      <name val="Arial"/>
      <family val="2"/>
    </font>
    <font>
      <b/>
      <sz val="12"/>
      <name val="Times New Roman"/>
      <family val="1"/>
    </font>
    <font>
      <b/>
      <vertAlign val="superscript"/>
      <sz val="9"/>
      <name val="Tahoma"/>
      <family val="2"/>
    </font>
    <font>
      <i/>
      <sz val="8"/>
      <name val="Tahoma"/>
      <family val="2"/>
    </font>
    <font>
      <u val="single"/>
      <sz val="8"/>
      <name val="Tahoma"/>
      <family val="2"/>
    </font>
    <font>
      <b/>
      <sz val="24"/>
      <name val="Lucida Sans Unicode"/>
      <family val="2"/>
    </font>
    <font>
      <b/>
      <sz val="12"/>
      <color indexed="12"/>
      <name val="Arial"/>
      <family val="2"/>
    </font>
    <font>
      <b/>
      <u val="single"/>
      <sz val="8"/>
      <name val="Tahoma"/>
      <family val="2"/>
    </font>
    <font>
      <b/>
      <vertAlign val="superscript"/>
      <sz val="10"/>
      <name val="Tahoma"/>
      <family val="2"/>
    </font>
    <font>
      <sz val="16"/>
      <name val="Arial"/>
      <family val="2"/>
    </font>
    <font>
      <b/>
      <sz val="10"/>
      <name val="Tahoma"/>
      <family val="0"/>
    </font>
    <font>
      <b/>
      <sz val="14"/>
      <color indexed="60"/>
      <name val="Arial"/>
      <family val="2"/>
    </font>
    <font>
      <b/>
      <sz val="20"/>
      <color indexed="60"/>
      <name val="Lucida Sans Unicode"/>
      <family val="2"/>
    </font>
    <font>
      <i/>
      <sz val="12"/>
      <color indexed="12"/>
      <name val="Arial"/>
      <family val="2"/>
    </font>
    <font>
      <b/>
      <i/>
      <sz val="20"/>
      <name val="Arial"/>
      <family val="2"/>
    </font>
    <font>
      <b/>
      <sz val="8"/>
      <name val="Arial"/>
      <family val="2"/>
    </font>
    <font>
      <b/>
      <sz val="9"/>
      <name val="Arial"/>
      <family val="2"/>
    </font>
    <font>
      <b/>
      <sz val="10"/>
      <color indexed="61"/>
      <name val="Arial"/>
      <family val="2"/>
    </font>
    <font>
      <sz val="10"/>
      <color indexed="61"/>
      <name val="Arial"/>
      <family val="2"/>
    </font>
    <font>
      <sz val="18"/>
      <name val="Arial"/>
      <family val="2"/>
    </font>
    <font>
      <sz val="14"/>
      <name val="Arial"/>
      <family val="2"/>
    </font>
    <font>
      <b/>
      <sz val="10"/>
      <name val="Trebuchet MS"/>
      <family val="2"/>
    </font>
    <font>
      <sz val="10"/>
      <name val="Trebuchet MS"/>
      <family val="2"/>
    </font>
    <font>
      <vertAlign val="superscript"/>
      <sz val="12"/>
      <name val="Trebuchet MS"/>
      <family val="2"/>
    </font>
    <font>
      <b/>
      <sz val="20"/>
      <color indexed="60"/>
      <name val="Arial"/>
      <family val="2"/>
    </font>
    <font>
      <sz val="10"/>
      <name val="Tahoma"/>
      <family val="0"/>
    </font>
    <font>
      <b/>
      <sz val="25.5"/>
      <name val="Arial"/>
      <family val="0"/>
    </font>
    <font>
      <sz val="21.25"/>
      <name val="Arial"/>
      <family val="0"/>
    </font>
    <font>
      <sz val="5"/>
      <name val="Arial"/>
      <family val="0"/>
    </font>
    <font>
      <sz val="10.75"/>
      <name val="Arial"/>
      <family val="0"/>
    </font>
    <font>
      <sz val="11.5"/>
      <name val="Arial"/>
      <family val="2"/>
    </font>
    <font>
      <sz val="10"/>
      <color indexed="62"/>
      <name val="Arial"/>
      <family val="0"/>
    </font>
  </fonts>
  <fills count="19">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31"/>
        <bgColor indexed="64"/>
      </patternFill>
    </fill>
    <fill>
      <patternFill patternType="solid">
        <fgColor indexed="46"/>
        <bgColor indexed="64"/>
      </patternFill>
    </fill>
    <fill>
      <patternFill patternType="solid">
        <fgColor indexed="44"/>
        <bgColor indexed="64"/>
      </patternFill>
    </fill>
    <fill>
      <patternFill patternType="solid">
        <fgColor indexed="48"/>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50"/>
        <bgColor indexed="64"/>
      </patternFill>
    </fill>
    <fill>
      <patternFill patternType="solid">
        <fgColor indexed="22"/>
        <bgColor indexed="64"/>
      </patternFill>
    </fill>
    <fill>
      <patternFill patternType="solid">
        <fgColor indexed="45"/>
        <bgColor indexed="64"/>
      </patternFill>
    </fill>
    <fill>
      <patternFill patternType="solid">
        <fgColor indexed="11"/>
        <bgColor indexed="64"/>
      </patternFill>
    </fill>
  </fills>
  <borders count="9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style="medium"/>
      <top style="medium"/>
      <bottom style="mediu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color indexed="63"/>
      </top>
      <bottom style="medium"/>
    </border>
    <border>
      <left style="thin">
        <color indexed="23"/>
      </left>
      <right style="thin">
        <color indexed="23"/>
      </right>
      <top>
        <color indexed="63"/>
      </top>
      <bottom style="thin">
        <color indexed="23"/>
      </bottom>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top style="thin">
        <color indexed="23"/>
      </top>
      <bottom style="thin"/>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right style="thin">
        <color indexed="23"/>
      </right>
      <top>
        <color indexed="63"/>
      </top>
      <bottom style="thin">
        <color indexed="23"/>
      </bottom>
    </border>
    <border>
      <left style="thin"/>
      <right>
        <color indexed="63"/>
      </right>
      <top style="thin"/>
      <bottom style="thin"/>
    </border>
    <border>
      <left style="thin"/>
      <right style="thin"/>
      <top>
        <color indexed="63"/>
      </top>
      <bottom style="thin"/>
    </border>
    <border>
      <left style="thin"/>
      <right style="thin">
        <color indexed="23"/>
      </right>
      <top style="thin">
        <color indexed="23"/>
      </top>
      <bottom>
        <color indexed="63"/>
      </bottom>
    </border>
    <border>
      <left style="thin">
        <color indexed="23"/>
      </left>
      <right style="thin"/>
      <top style="thin">
        <color indexed="23"/>
      </top>
      <bottom>
        <color indexed="63"/>
      </bottom>
    </border>
    <border>
      <left>
        <color indexed="63"/>
      </left>
      <right>
        <color indexed="63"/>
      </right>
      <top>
        <color indexed="63"/>
      </top>
      <bottom style="thin">
        <color indexed="23"/>
      </bottom>
    </border>
    <border>
      <left style="thin">
        <color indexed="23"/>
      </left>
      <right style="thin"/>
      <top>
        <color indexed="63"/>
      </top>
      <bottom style="thin">
        <color indexed="23"/>
      </bottom>
    </border>
    <border>
      <left style="hair"/>
      <right style="hair"/>
      <top style="hair"/>
      <bottom style="hair"/>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style="thin">
        <color indexed="23"/>
      </right>
      <top style="thin">
        <color indexed="23"/>
      </top>
      <bottom style="mediu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medium">
        <color indexed="23"/>
      </right>
      <top style="medium">
        <color indexed="23"/>
      </top>
      <bottom style="medium">
        <color indexed="2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color indexed="63"/>
      </bottom>
    </border>
    <border>
      <left>
        <color indexed="63"/>
      </left>
      <right style="thin"/>
      <top style="thin"/>
      <bottom>
        <color indexed="63"/>
      </bottom>
    </border>
    <border>
      <left style="hair"/>
      <right style="hair"/>
      <top style="hair"/>
      <bottom>
        <color indexed="63"/>
      </bottom>
    </border>
    <border>
      <left style="hair"/>
      <right>
        <color indexed="63"/>
      </right>
      <top style="hair"/>
      <bottom style="hair"/>
    </border>
    <border>
      <left style="hair"/>
      <right style="hair"/>
      <top>
        <color indexed="63"/>
      </top>
      <bottom style="hair"/>
    </border>
    <border>
      <left>
        <color indexed="63"/>
      </left>
      <right>
        <color indexed="63"/>
      </right>
      <top style="thin"/>
      <bottom style="medium"/>
    </border>
    <border>
      <left>
        <color indexed="63"/>
      </left>
      <right style="thin"/>
      <top style="thin"/>
      <bottom style="medium"/>
    </border>
    <border>
      <left>
        <color indexed="63"/>
      </left>
      <right>
        <color indexed="6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medium"/>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color indexed="63"/>
      </left>
      <right>
        <color indexed="63"/>
      </right>
      <top style="thin">
        <color indexed="23"/>
      </top>
      <bottom style="thin"/>
    </border>
    <border>
      <left>
        <color indexed="63"/>
      </left>
      <right style="thin"/>
      <top style="thin">
        <color indexed="2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color indexed="23"/>
      </bottom>
    </border>
    <border>
      <left>
        <color indexed="63"/>
      </left>
      <right style="medium"/>
      <top style="thin">
        <color indexed="23"/>
      </top>
      <bottom style="thin">
        <color indexed="23"/>
      </bottom>
    </border>
    <border>
      <left>
        <color indexed="63"/>
      </left>
      <right style="medium"/>
      <top style="thin">
        <color indexed="23"/>
      </top>
      <bottom style="mediu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medium"/>
      <right style="thin">
        <color indexed="23"/>
      </right>
      <top style="thin">
        <color indexed="23"/>
      </top>
      <bottom style="medium"/>
    </border>
    <border>
      <left>
        <color indexed="63"/>
      </left>
      <right style="medium"/>
      <top>
        <color indexed="63"/>
      </top>
      <bottom style="thin">
        <color indexed="23"/>
      </bottom>
    </border>
    <border>
      <left>
        <color indexed="63"/>
      </left>
      <right style="medium"/>
      <top style="thin">
        <color indexed="23"/>
      </top>
      <bottom>
        <color indexed="63"/>
      </bottom>
    </border>
    <border>
      <left>
        <color indexed="63"/>
      </left>
      <right>
        <color indexed="63"/>
      </right>
      <top style="medium"/>
      <bottom style="double"/>
    </border>
    <border>
      <left style="thin">
        <color indexed="23"/>
      </left>
      <right style="medium"/>
      <top style="thin">
        <color indexed="23"/>
      </top>
      <bottom style="thin">
        <color indexed="23"/>
      </bottom>
    </border>
    <border>
      <left style="medium"/>
      <right style="medium"/>
      <top style="medium"/>
      <bottom>
        <color indexed="63"/>
      </botto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color indexed="23"/>
      </right>
      <top style="medium"/>
      <bottom style="thin">
        <color indexed="23"/>
      </bottom>
    </border>
    <border>
      <left style="thin">
        <color indexed="23"/>
      </left>
      <right style="thin"/>
      <top style="medium"/>
      <bottom style="thin">
        <color indexed="23"/>
      </bottom>
    </border>
    <border>
      <left style="thin"/>
      <right style="thin">
        <color indexed="23"/>
      </right>
      <top style="thin"/>
      <bottom style="double"/>
    </border>
    <border>
      <left style="thin">
        <color indexed="23"/>
      </left>
      <right style="thin">
        <color indexed="23"/>
      </right>
      <top style="thin"/>
      <bottom style="double"/>
    </border>
    <border>
      <left style="thin"/>
      <right style="thin">
        <color indexed="23"/>
      </right>
      <top style="medium"/>
      <bottom style="thin"/>
    </border>
    <border>
      <left style="thin">
        <color indexed="23"/>
      </left>
      <right style="thin">
        <color indexed="23"/>
      </right>
      <top style="medium"/>
      <bottom style="thin"/>
    </border>
    <border>
      <left style="thin">
        <color indexed="23"/>
      </left>
      <right style="thin"/>
      <top style="medium"/>
      <bottom style="thin"/>
    </border>
    <border>
      <left style="thin">
        <color indexed="23"/>
      </left>
      <right style="medium"/>
      <top style="thin">
        <color indexed="23"/>
      </top>
      <bottom style="medium"/>
    </border>
    <border>
      <left style="thin"/>
      <right style="thin"/>
      <top style="medium"/>
      <bottom style="thin"/>
    </border>
    <border>
      <left>
        <color indexed="63"/>
      </left>
      <right style="thin"/>
      <top style="medium"/>
      <bottom style="thin"/>
    </border>
    <border>
      <left style="medium">
        <color indexed="23"/>
      </left>
      <right style="thin"/>
      <top style="thin"/>
      <bottom style="thin"/>
    </border>
    <border>
      <left style="thin"/>
      <right style="thin"/>
      <top>
        <color indexed="63"/>
      </top>
      <bottom>
        <color indexed="6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61">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0" fontId="2" fillId="0" borderId="0" xfId="0" applyFont="1" applyAlignment="1">
      <alignment/>
    </xf>
    <xf numFmtId="0" fontId="0" fillId="0" borderId="1" xfId="0" applyBorder="1" applyAlignment="1">
      <alignment wrapText="1"/>
    </xf>
    <xf numFmtId="0" fontId="0" fillId="0" borderId="1" xfId="0" applyBorder="1" applyAlignment="1">
      <alignment/>
    </xf>
    <xf numFmtId="0" fontId="0" fillId="0" borderId="2" xfId="0" applyBorder="1" applyAlignment="1">
      <alignment wrapText="1"/>
    </xf>
    <xf numFmtId="0" fontId="0" fillId="0" borderId="2" xfId="0" applyBorder="1" applyAlignment="1">
      <alignment/>
    </xf>
    <xf numFmtId="0" fontId="0" fillId="0" borderId="0" xfId="0" applyBorder="1" applyAlignment="1">
      <alignment wrapText="1"/>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3" xfId="0" applyBorder="1" applyAlignment="1">
      <alignment wrapText="1"/>
    </xf>
    <xf numFmtId="3" fontId="0" fillId="0" borderId="0" xfId="0" applyNumberFormat="1" applyAlignment="1">
      <alignment wrapText="1"/>
    </xf>
    <xf numFmtId="3" fontId="1" fillId="0" borderId="0" xfId="0" applyNumberFormat="1" applyFont="1" applyAlignment="1">
      <alignment wrapText="1"/>
    </xf>
    <xf numFmtId="0" fontId="3" fillId="0" borderId="0" xfId="0" applyFont="1" applyAlignment="1">
      <alignment/>
    </xf>
    <xf numFmtId="0" fontId="1" fillId="0" borderId="1" xfId="0" applyFont="1" applyBorder="1" applyAlignment="1">
      <alignment/>
    </xf>
    <xf numFmtId="0" fontId="0" fillId="0" borderId="0" xfId="0" applyFont="1" applyBorder="1" applyAlignment="1">
      <alignment/>
    </xf>
    <xf numFmtId="0" fontId="2" fillId="0" borderId="0" xfId="0" applyFont="1" applyAlignment="1">
      <alignment/>
    </xf>
    <xf numFmtId="0" fontId="0" fillId="0" borderId="0" xfId="0" applyFont="1" applyAlignment="1">
      <alignment/>
    </xf>
    <xf numFmtId="3" fontId="0" fillId="0" borderId="5" xfId="0" applyNumberFormat="1" applyBorder="1" applyAlignment="1">
      <alignment wrapText="1"/>
    </xf>
    <xf numFmtId="0" fontId="0" fillId="0" borderId="0" xfId="0" applyFont="1" applyAlignment="1">
      <alignment wrapText="1"/>
    </xf>
    <xf numFmtId="0" fontId="1" fillId="0" borderId="6" xfId="0" applyFont="1" applyBorder="1" applyAlignment="1">
      <alignment wrapText="1"/>
    </xf>
    <xf numFmtId="3" fontId="1" fillId="0" borderId="6" xfId="0" applyNumberFormat="1" applyFont="1" applyBorder="1" applyAlignment="1">
      <alignment wrapText="1"/>
    </xf>
    <xf numFmtId="0" fontId="0" fillId="0" borderId="7" xfId="0" applyBorder="1" applyAlignment="1">
      <alignment/>
    </xf>
    <xf numFmtId="0" fontId="9" fillId="0" borderId="0" xfId="0" applyFont="1" applyAlignment="1">
      <alignment/>
    </xf>
    <xf numFmtId="0" fontId="0" fillId="0" borderId="7" xfId="0" applyBorder="1" applyAlignment="1">
      <alignment wrapText="1"/>
    </xf>
    <xf numFmtId="3" fontId="0" fillId="0" borderId="7" xfId="0" applyNumberFormat="1" applyBorder="1" applyAlignment="1">
      <alignment wrapText="1"/>
    </xf>
    <xf numFmtId="0" fontId="0" fillId="0" borderId="0" xfId="0" applyFill="1" applyBorder="1" applyAlignment="1">
      <alignment/>
    </xf>
    <xf numFmtId="0" fontId="0" fillId="0" borderId="8" xfId="0" applyBorder="1" applyAlignment="1">
      <alignment wrapText="1"/>
    </xf>
    <xf numFmtId="3" fontId="0" fillId="0" borderId="8" xfId="0" applyNumberFormat="1" applyBorder="1" applyAlignment="1">
      <alignment wrapText="1"/>
    </xf>
    <xf numFmtId="0" fontId="0" fillId="0" borderId="0" xfId="0" applyAlignment="1">
      <alignment/>
    </xf>
    <xf numFmtId="3" fontId="1" fillId="0" borderId="0" xfId="0" applyNumberFormat="1" applyFont="1" applyAlignment="1">
      <alignment/>
    </xf>
    <xf numFmtId="0" fontId="0" fillId="0" borderId="4" xfId="0" applyBorder="1" applyAlignment="1">
      <alignment wrapText="1"/>
    </xf>
    <xf numFmtId="4" fontId="0" fillId="0" borderId="7" xfId="0" applyNumberFormat="1" applyBorder="1" applyAlignment="1">
      <alignment wrapText="1"/>
    </xf>
    <xf numFmtId="3" fontId="0" fillId="0" borderId="0" xfId="0" applyNumberFormat="1" applyBorder="1" applyAlignment="1">
      <alignment wrapText="1"/>
    </xf>
    <xf numFmtId="3" fontId="0" fillId="0" borderId="9" xfId="0" applyNumberFormat="1" applyBorder="1" applyAlignment="1">
      <alignment wrapText="1"/>
    </xf>
    <xf numFmtId="0" fontId="0" fillId="0" borderId="10" xfId="0" applyBorder="1" applyAlignment="1">
      <alignment/>
    </xf>
    <xf numFmtId="0" fontId="0" fillId="0" borderId="10" xfId="0" applyBorder="1" applyAlignment="1">
      <alignment wrapText="1"/>
    </xf>
    <xf numFmtId="0" fontId="0" fillId="0" borderId="7" xfId="0" applyFont="1" applyBorder="1" applyAlignment="1">
      <alignment/>
    </xf>
    <xf numFmtId="0" fontId="0" fillId="0" borderId="0" xfId="0" applyFont="1" applyBorder="1" applyAlignment="1">
      <alignment wrapText="1"/>
    </xf>
    <xf numFmtId="0" fontId="0" fillId="0" borderId="0" xfId="0"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wrapText="1"/>
    </xf>
    <xf numFmtId="0" fontId="0" fillId="0" borderId="14" xfId="0" applyBorder="1" applyAlignment="1">
      <alignment/>
    </xf>
    <xf numFmtId="0" fontId="0" fillId="0" borderId="15" xfId="0" applyBorder="1" applyAlignment="1">
      <alignment wrapText="1"/>
    </xf>
    <xf numFmtId="0" fontId="0" fillId="0" borderId="16" xfId="0" applyBorder="1" applyAlignment="1">
      <alignment wrapText="1"/>
    </xf>
    <xf numFmtId="0" fontId="0" fillId="0" borderId="12" xfId="0" applyBorder="1" applyAlignment="1">
      <alignment wrapText="1"/>
    </xf>
    <xf numFmtId="0" fontId="0" fillId="0" borderId="14" xfId="0" applyFill="1" applyBorder="1" applyAlignment="1">
      <alignment/>
    </xf>
    <xf numFmtId="0" fontId="0" fillId="0" borderId="17" xfId="0" applyFill="1" applyBorder="1" applyAlignment="1">
      <alignment/>
    </xf>
    <xf numFmtId="0" fontId="0" fillId="0" borderId="18" xfId="0" applyBorder="1" applyAlignment="1">
      <alignment wrapText="1"/>
    </xf>
    <xf numFmtId="0" fontId="0" fillId="0" borderId="13" xfId="0" applyFont="1" applyBorder="1" applyAlignment="1">
      <alignment wrapText="1"/>
    </xf>
    <xf numFmtId="0" fontId="0" fillId="0" borderId="14" xfId="0" applyFont="1" applyBorder="1" applyAlignment="1">
      <alignment/>
    </xf>
    <xf numFmtId="0" fontId="0" fillId="0" borderId="15" xfId="0" applyFont="1" applyBorder="1" applyAlignment="1">
      <alignment wrapText="1"/>
    </xf>
    <xf numFmtId="0" fontId="0" fillId="0" borderId="18" xfId="0" applyFont="1" applyBorder="1" applyAlignment="1">
      <alignment/>
    </xf>
    <xf numFmtId="0" fontId="0" fillId="0" borderId="16" xfId="0" applyFont="1" applyBorder="1" applyAlignment="1">
      <alignment wrapText="1"/>
    </xf>
    <xf numFmtId="0" fontId="0" fillId="0" borderId="11" xfId="0" applyFont="1" applyBorder="1" applyAlignment="1">
      <alignment/>
    </xf>
    <xf numFmtId="0" fontId="0" fillId="0" borderId="14" xfId="0" applyFont="1" applyFill="1" applyBorder="1" applyAlignment="1">
      <alignment/>
    </xf>
    <xf numFmtId="0" fontId="0" fillId="0" borderId="7" xfId="0" applyFont="1" applyFill="1" applyBorder="1" applyAlignment="1">
      <alignment/>
    </xf>
    <xf numFmtId="0" fontId="0" fillId="0" borderId="17" xfId="0" applyFont="1" applyFill="1" applyBorder="1" applyAlignment="1">
      <alignment/>
    </xf>
    <xf numFmtId="0" fontId="0" fillId="0" borderId="19" xfId="0" applyFont="1" applyBorder="1" applyAlignment="1">
      <alignment/>
    </xf>
    <xf numFmtId="4" fontId="0" fillId="0" borderId="3" xfId="0" applyNumberFormat="1" applyBorder="1" applyAlignment="1">
      <alignment/>
    </xf>
    <xf numFmtId="4" fontId="0" fillId="0" borderId="0" xfId="0" applyNumberFormat="1" applyAlignment="1">
      <alignment/>
    </xf>
    <xf numFmtId="0" fontId="1" fillId="0" borderId="3" xfId="0" applyFont="1" applyBorder="1" applyAlignment="1">
      <alignment/>
    </xf>
    <xf numFmtId="4" fontId="1" fillId="0" borderId="0" xfId="0" applyNumberFormat="1" applyFont="1" applyAlignment="1">
      <alignment/>
    </xf>
    <xf numFmtId="3" fontId="0" fillId="0" borderId="3" xfId="0" applyNumberFormat="1" applyBorder="1" applyAlignment="1">
      <alignment/>
    </xf>
    <xf numFmtId="3" fontId="0" fillId="0" borderId="0" xfId="0" applyNumberFormat="1" applyAlignment="1">
      <alignment/>
    </xf>
    <xf numFmtId="2" fontId="0" fillId="0" borderId="3" xfId="0" applyNumberFormat="1" applyBorder="1" applyAlignment="1">
      <alignment/>
    </xf>
    <xf numFmtId="0" fontId="4" fillId="0" borderId="3" xfId="0" applyFont="1" applyBorder="1" applyAlignment="1">
      <alignment/>
    </xf>
    <xf numFmtId="3" fontId="1" fillId="0" borderId="3" xfId="0" applyNumberFormat="1" applyFont="1" applyBorder="1" applyAlignment="1">
      <alignment/>
    </xf>
    <xf numFmtId="2" fontId="4" fillId="0" borderId="3" xfId="0" applyNumberFormat="1" applyFont="1" applyBorder="1" applyAlignment="1">
      <alignment/>
    </xf>
    <xf numFmtId="4" fontId="4" fillId="0" borderId="3" xfId="0" applyNumberFormat="1" applyFont="1" applyBorder="1" applyAlignment="1">
      <alignment/>
    </xf>
    <xf numFmtId="0" fontId="0" fillId="0" borderId="3" xfId="0" applyFont="1" applyBorder="1" applyAlignment="1">
      <alignment/>
    </xf>
    <xf numFmtId="0" fontId="0" fillId="0" borderId="20" xfId="0" applyBorder="1" applyAlignment="1">
      <alignment wrapText="1"/>
    </xf>
    <xf numFmtId="3" fontId="0" fillId="0" borderId="4" xfId="0" applyNumberFormat="1" applyBorder="1" applyAlignment="1">
      <alignment/>
    </xf>
    <xf numFmtId="0" fontId="0" fillId="0" borderId="20" xfId="0" applyBorder="1" applyAlignment="1">
      <alignment/>
    </xf>
    <xf numFmtId="0" fontId="1" fillId="0" borderId="21" xfId="0" applyFont="1" applyBorder="1" applyAlignment="1">
      <alignment/>
    </xf>
    <xf numFmtId="0" fontId="1" fillId="0" borderId="21" xfId="0" applyFont="1" applyBorder="1" applyAlignment="1">
      <alignment horizontal="center"/>
    </xf>
    <xf numFmtId="0" fontId="1" fillId="0" borderId="21" xfId="0" applyFont="1" applyBorder="1" applyAlignment="1">
      <alignment horizontal="center" wrapText="1"/>
    </xf>
    <xf numFmtId="3" fontId="1" fillId="0" borderId="21" xfId="0" applyNumberFormat="1" applyFont="1" applyBorder="1" applyAlignment="1">
      <alignment horizontal="center" wrapText="1"/>
    </xf>
    <xf numFmtId="0" fontId="1" fillId="0" borderId="6" xfId="0" applyFont="1" applyBorder="1" applyAlignment="1">
      <alignment horizontal="center" vertical="center" wrapText="1"/>
    </xf>
    <xf numFmtId="3" fontId="1" fillId="0" borderId="6" xfId="0" applyNumberFormat="1" applyFont="1" applyBorder="1" applyAlignment="1">
      <alignment horizontal="center" vertical="center" wrapText="1"/>
    </xf>
    <xf numFmtId="0" fontId="14" fillId="0" borderId="3" xfId="0" applyFont="1" applyBorder="1" applyAlignment="1">
      <alignment/>
    </xf>
    <xf numFmtId="0" fontId="0" fillId="0" borderId="22" xfId="0" applyFont="1" applyBorder="1" applyAlignment="1">
      <alignment/>
    </xf>
    <xf numFmtId="0" fontId="0" fillId="0" borderId="23" xfId="0" applyFont="1" applyBorder="1" applyAlignment="1">
      <alignment wrapText="1"/>
    </xf>
    <xf numFmtId="0" fontId="1" fillId="0" borderId="20" xfId="0" applyFont="1" applyBorder="1" applyAlignment="1">
      <alignment wrapText="1"/>
    </xf>
    <xf numFmtId="0" fontId="1" fillId="0" borderId="4" xfId="0" applyFont="1" applyBorder="1" applyAlignment="1">
      <alignment wrapText="1"/>
    </xf>
    <xf numFmtId="3" fontId="1" fillId="0" borderId="4" xfId="0" applyNumberFormat="1" applyFont="1" applyBorder="1" applyAlignment="1">
      <alignment wrapText="1"/>
    </xf>
    <xf numFmtId="3" fontId="1" fillId="0" borderId="6" xfId="0" applyNumberFormat="1" applyFont="1" applyFill="1" applyBorder="1" applyAlignment="1">
      <alignment wrapText="1"/>
    </xf>
    <xf numFmtId="3" fontId="0" fillId="0" borderId="0" xfId="0" applyNumberFormat="1" applyFill="1" applyBorder="1" applyAlignment="1">
      <alignment wrapText="1"/>
    </xf>
    <xf numFmtId="3" fontId="0" fillId="0" borderId="0" xfId="0" applyNumberFormat="1" applyFill="1" applyAlignment="1">
      <alignment wrapText="1"/>
    </xf>
    <xf numFmtId="3" fontId="0" fillId="0" borderId="7" xfId="0" applyNumberFormat="1" applyFill="1" applyBorder="1" applyAlignment="1">
      <alignment wrapText="1"/>
    </xf>
    <xf numFmtId="3" fontId="0" fillId="0" borderId="8" xfId="0" applyNumberFormat="1" applyFill="1" applyBorder="1" applyAlignment="1">
      <alignment wrapText="1"/>
    </xf>
    <xf numFmtId="0" fontId="3" fillId="2" borderId="0" xfId="0" applyFont="1" applyFill="1" applyAlignment="1">
      <alignment wrapText="1"/>
    </xf>
    <xf numFmtId="3" fontId="3" fillId="2" borderId="0" xfId="0" applyNumberFormat="1" applyFont="1" applyFill="1" applyAlignment="1">
      <alignment wrapText="1"/>
    </xf>
    <xf numFmtId="3" fontId="3" fillId="2" borderId="0" xfId="0" applyNumberFormat="1" applyFont="1" applyFill="1" applyBorder="1" applyAlignment="1">
      <alignment wrapText="1"/>
    </xf>
    <xf numFmtId="0" fontId="1" fillId="2" borderId="0" xfId="0" applyFont="1" applyFill="1" applyAlignment="1">
      <alignment wrapText="1"/>
    </xf>
    <xf numFmtId="0" fontId="0" fillId="2" borderId="0" xfId="0" applyFill="1" applyAlignment="1">
      <alignment wrapText="1"/>
    </xf>
    <xf numFmtId="3" fontId="0" fillId="2" borderId="0" xfId="0" applyNumberFormat="1" applyFill="1" applyAlignment="1">
      <alignment wrapText="1"/>
    </xf>
    <xf numFmtId="3" fontId="1" fillId="2" borderId="24" xfId="0" applyNumberFormat="1" applyFont="1" applyFill="1" applyBorder="1" applyAlignment="1">
      <alignment wrapText="1"/>
    </xf>
    <xf numFmtId="3" fontId="0" fillId="2" borderId="0" xfId="0" applyNumberFormat="1" applyFill="1" applyBorder="1" applyAlignment="1">
      <alignment wrapText="1"/>
    </xf>
    <xf numFmtId="3" fontId="0" fillId="0" borderId="0" xfId="0" applyNumberFormat="1" applyFont="1" applyAlignment="1">
      <alignment wrapText="1"/>
    </xf>
    <xf numFmtId="0" fontId="2" fillId="0" borderId="0" xfId="0" applyFont="1" applyAlignment="1">
      <alignment horizontal="center"/>
    </xf>
    <xf numFmtId="3" fontId="0" fillId="0" borderId="7" xfId="0" applyNumberFormat="1" applyFont="1" applyFill="1" applyBorder="1" applyAlignment="1">
      <alignment wrapText="1"/>
    </xf>
    <xf numFmtId="0" fontId="0" fillId="0" borderId="25" xfId="0" applyBorder="1" applyAlignment="1">
      <alignment wrapText="1"/>
    </xf>
    <xf numFmtId="0" fontId="2" fillId="0" borderId="0" xfId="0" applyFont="1" applyAlignment="1">
      <alignment vertical="center"/>
    </xf>
    <xf numFmtId="0" fontId="19" fillId="0" borderId="0" xfId="0" applyFont="1" applyAlignment="1" applyProtection="1">
      <alignment horizontal="left"/>
      <protection/>
    </xf>
    <xf numFmtId="1" fontId="19" fillId="0" borderId="0" xfId="0" applyNumberFormat="1" applyFont="1" applyAlignment="1">
      <alignment horizontal="center"/>
    </xf>
    <xf numFmtId="0" fontId="19" fillId="0" borderId="0" xfId="0" applyFont="1" applyAlignment="1">
      <alignment/>
    </xf>
    <xf numFmtId="17" fontId="19" fillId="0" borderId="0" xfId="0" applyNumberFormat="1" applyFont="1" applyAlignment="1" quotePrefix="1">
      <alignment horizontal="right"/>
    </xf>
    <xf numFmtId="1" fontId="9" fillId="0" borderId="0" xfId="0" applyNumberFormat="1" applyFont="1" applyAlignment="1" applyProtection="1">
      <alignment horizontal="center"/>
      <protection/>
    </xf>
    <xf numFmtId="1" fontId="9" fillId="0" borderId="0" xfId="0" applyNumberFormat="1" applyFont="1" applyAlignment="1">
      <alignment horizontal="center"/>
    </xf>
    <xf numFmtId="9" fontId="9" fillId="0" borderId="0" xfId="0" applyNumberFormat="1" applyFont="1" applyAlignment="1">
      <alignment horizontal="right"/>
    </xf>
    <xf numFmtId="0" fontId="9" fillId="0" borderId="0" xfId="0" applyFont="1" applyAlignment="1" applyProtection="1">
      <alignment horizontal="left"/>
      <protection/>
    </xf>
    <xf numFmtId="0" fontId="18" fillId="0" borderId="0" xfId="0" applyFont="1" applyAlignment="1" applyProtection="1">
      <alignment horizontal="left"/>
      <protection/>
    </xf>
    <xf numFmtId="0" fontId="20" fillId="0" borderId="26" xfId="0" applyFont="1" applyBorder="1" applyAlignment="1" applyProtection="1">
      <alignment horizontal="left"/>
      <protection/>
    </xf>
    <xf numFmtId="1" fontId="21" fillId="0" borderId="26" xfId="0" applyNumberFormat="1" applyFont="1" applyBorder="1" applyAlignment="1">
      <alignment horizontal="center"/>
    </xf>
    <xf numFmtId="0" fontId="21" fillId="0" borderId="0" xfId="0" applyFont="1" applyAlignment="1">
      <alignment/>
    </xf>
    <xf numFmtId="0" fontId="21" fillId="0" borderId="26" xfId="0" applyFont="1" applyBorder="1" applyAlignment="1">
      <alignment/>
    </xf>
    <xf numFmtId="1" fontId="21" fillId="0" borderId="26" xfId="0" applyNumberFormat="1" applyFont="1" applyBorder="1" applyAlignment="1" applyProtection="1">
      <alignment/>
      <protection/>
    </xf>
    <xf numFmtId="0" fontId="20" fillId="0" borderId="26" xfId="0" applyFont="1" applyBorder="1" applyAlignment="1">
      <alignment/>
    </xf>
    <xf numFmtId="1" fontId="21" fillId="0" borderId="26" xfId="0" applyNumberFormat="1" applyFont="1" applyBorder="1" applyAlignment="1" applyProtection="1">
      <alignment horizontal="center"/>
      <protection/>
    </xf>
    <xf numFmtId="9" fontId="21" fillId="0" borderId="26" xfId="0" applyNumberFormat="1" applyFont="1" applyBorder="1" applyAlignment="1" quotePrefix="1">
      <alignment horizontal="center"/>
    </xf>
    <xf numFmtId="1" fontId="20" fillId="0" borderId="26" xfId="0" applyNumberFormat="1" applyFont="1" applyBorder="1" applyAlignment="1" applyProtection="1">
      <alignment/>
      <protection/>
    </xf>
    <xf numFmtId="0" fontId="21" fillId="0" borderId="0" xfId="0" applyFont="1" applyFill="1" applyAlignment="1">
      <alignment/>
    </xf>
    <xf numFmtId="1" fontId="21" fillId="0" borderId="26" xfId="0" applyNumberFormat="1" applyFont="1" applyBorder="1" applyAlignment="1">
      <alignment/>
    </xf>
    <xf numFmtId="0" fontId="0" fillId="0" borderId="15" xfId="0" applyBorder="1" applyAlignment="1">
      <alignment/>
    </xf>
    <xf numFmtId="0" fontId="0" fillId="0" borderId="14" xfId="0" applyBorder="1" applyAlignment="1">
      <alignment wrapText="1"/>
    </xf>
    <xf numFmtId="0" fontId="0" fillId="0" borderId="19" xfId="0" applyBorder="1" applyAlignment="1">
      <alignment/>
    </xf>
    <xf numFmtId="0" fontId="1" fillId="0" borderId="0" xfId="0" applyFont="1" applyAlignment="1">
      <alignment horizontal="center" vertical="center" wrapText="1"/>
    </xf>
    <xf numFmtId="3" fontId="8" fillId="0" borderId="7" xfId="0" applyNumberFormat="1" applyFont="1" applyBorder="1" applyAlignment="1">
      <alignment wrapText="1"/>
    </xf>
    <xf numFmtId="0" fontId="8" fillId="0" borderId="7" xfId="0" applyFont="1" applyBorder="1" applyAlignment="1">
      <alignment wrapText="1"/>
    </xf>
    <xf numFmtId="0" fontId="0" fillId="0" borderId="27" xfId="0" applyBorder="1" applyAlignment="1">
      <alignment wrapText="1"/>
    </xf>
    <xf numFmtId="3" fontId="0" fillId="0" borderId="28" xfId="0" applyNumberFormat="1" applyBorder="1" applyAlignment="1">
      <alignment wrapText="1"/>
    </xf>
    <xf numFmtId="0" fontId="0" fillId="0" borderId="28" xfId="0" applyBorder="1" applyAlignment="1">
      <alignment wrapText="1"/>
    </xf>
    <xf numFmtId="0" fontId="24" fillId="0" borderId="0" xfId="0" applyFont="1" applyAlignment="1">
      <alignment wrapText="1"/>
    </xf>
    <xf numFmtId="3" fontId="0" fillId="0" borderId="29" xfId="0" applyNumberFormat="1" applyFill="1" applyBorder="1" applyAlignment="1">
      <alignment wrapText="1"/>
    </xf>
    <xf numFmtId="0" fontId="25" fillId="0" borderId="3" xfId="0" applyFont="1" applyFill="1" applyBorder="1" applyAlignment="1">
      <alignment/>
    </xf>
    <xf numFmtId="4" fontId="25" fillId="0" borderId="3" xfId="0" applyNumberFormat="1" applyFont="1" applyBorder="1" applyAlignment="1">
      <alignment/>
    </xf>
    <xf numFmtId="0" fontId="14" fillId="0" borderId="30" xfId="0" applyFont="1" applyBorder="1" applyAlignment="1">
      <alignment/>
    </xf>
    <xf numFmtId="0" fontId="25" fillId="0" borderId="21" xfId="0" applyFont="1" applyFill="1" applyBorder="1" applyAlignment="1">
      <alignment/>
    </xf>
    <xf numFmtId="4" fontId="25" fillId="0" borderId="21" xfId="0" applyNumberFormat="1" applyFont="1" applyBorder="1" applyAlignment="1">
      <alignment/>
    </xf>
    <xf numFmtId="0" fontId="1" fillId="0" borderId="30" xfId="0" applyFont="1" applyBorder="1" applyAlignment="1">
      <alignment horizontal="center"/>
    </xf>
    <xf numFmtId="2" fontId="14" fillId="0" borderId="3" xfId="0" applyNumberFormat="1" applyFont="1" applyBorder="1" applyAlignment="1">
      <alignment horizontal="right"/>
    </xf>
    <xf numFmtId="3" fontId="1" fillId="0" borderId="6" xfId="0" applyNumberFormat="1" applyFont="1" applyFill="1" applyBorder="1" applyAlignment="1">
      <alignment horizontal="center" vertical="center" wrapText="1"/>
    </xf>
    <xf numFmtId="4" fontId="1" fillId="0" borderId="21" xfId="0" applyNumberFormat="1" applyFont="1" applyBorder="1" applyAlignment="1">
      <alignment horizontal="center" wrapText="1"/>
    </xf>
    <xf numFmtId="3" fontId="1" fillId="0" borderId="21" xfId="0" applyNumberFormat="1" applyFont="1" applyFill="1" applyBorder="1" applyAlignment="1">
      <alignment horizontal="center" wrapText="1"/>
    </xf>
    <xf numFmtId="0" fontId="0" fillId="0" borderId="31" xfId="0" applyBorder="1" applyAlignment="1">
      <alignment wrapText="1"/>
    </xf>
    <xf numFmtId="38" fontId="0" fillId="0" borderId="3" xfId="0" applyNumberFormat="1" applyBorder="1" applyAlignment="1">
      <alignment/>
    </xf>
    <xf numFmtId="0" fontId="0" fillId="0" borderId="32" xfId="0" applyBorder="1" applyAlignment="1">
      <alignment wrapText="1"/>
    </xf>
    <xf numFmtId="4" fontId="1" fillId="0" borderId="3" xfId="0" applyNumberFormat="1" applyFont="1" applyBorder="1" applyAlignment="1">
      <alignment/>
    </xf>
    <xf numFmtId="38" fontId="1" fillId="0" borderId="3" xfId="0" applyNumberFormat="1" applyFont="1" applyBorder="1" applyAlignment="1">
      <alignment/>
    </xf>
    <xf numFmtId="0" fontId="1" fillId="0" borderId="32" xfId="0" applyFont="1" applyBorder="1" applyAlignment="1">
      <alignment wrapText="1"/>
    </xf>
    <xf numFmtId="0" fontId="0" fillId="0" borderId="33" xfId="0" applyBorder="1" applyAlignment="1">
      <alignment/>
    </xf>
    <xf numFmtId="4" fontId="0" fillId="0" borderId="0" xfId="0" applyNumberFormat="1" applyBorder="1" applyAlignment="1">
      <alignment/>
    </xf>
    <xf numFmtId="38" fontId="0" fillId="0" borderId="0" xfId="0" applyNumberFormat="1" applyBorder="1" applyAlignment="1">
      <alignment/>
    </xf>
    <xf numFmtId="2" fontId="0" fillId="0" borderId="4" xfId="0" applyNumberFormat="1" applyBorder="1" applyAlignment="1">
      <alignment/>
    </xf>
    <xf numFmtId="4" fontId="0" fillId="0" borderId="4" xfId="0" applyNumberFormat="1" applyBorder="1" applyAlignment="1">
      <alignment/>
    </xf>
    <xf numFmtId="38" fontId="0" fillId="0" borderId="4" xfId="0" applyNumberFormat="1" applyBorder="1" applyAlignment="1">
      <alignment/>
    </xf>
    <xf numFmtId="38" fontId="4" fillId="0" borderId="3" xfId="0" applyNumberFormat="1" applyFont="1" applyBorder="1" applyAlignment="1">
      <alignment/>
    </xf>
    <xf numFmtId="0" fontId="4" fillId="0" borderId="32" xfId="0" applyFont="1" applyBorder="1" applyAlignment="1">
      <alignment wrapText="1"/>
    </xf>
    <xf numFmtId="4" fontId="0" fillId="0" borderId="0" xfId="0" applyNumberFormat="1" applyAlignment="1">
      <alignment wrapText="1"/>
    </xf>
    <xf numFmtId="0" fontId="1" fillId="0" borderId="4" xfId="0" applyFont="1" applyBorder="1" applyAlignment="1">
      <alignment/>
    </xf>
    <xf numFmtId="3" fontId="1" fillId="0" borderId="4" xfId="0" applyNumberFormat="1" applyFont="1" applyBorder="1" applyAlignment="1">
      <alignment/>
    </xf>
    <xf numFmtId="0" fontId="1" fillId="0" borderId="20" xfId="0" applyFont="1" applyBorder="1" applyAlignment="1">
      <alignment/>
    </xf>
    <xf numFmtId="4" fontId="0" fillId="0" borderId="3" xfId="0" applyNumberFormat="1" applyBorder="1" applyAlignment="1">
      <alignment wrapText="1"/>
    </xf>
    <xf numFmtId="3" fontId="0" fillId="0" borderId="3" xfId="0" applyNumberFormat="1" applyBorder="1" applyAlignment="1">
      <alignment wrapText="1"/>
    </xf>
    <xf numFmtId="0" fontId="0" fillId="0" borderId="34" xfId="0" applyBorder="1" applyAlignment="1">
      <alignment wrapText="1"/>
    </xf>
    <xf numFmtId="0" fontId="4" fillId="0" borderId="3" xfId="0" applyFont="1" applyBorder="1" applyAlignment="1">
      <alignment wrapText="1"/>
    </xf>
    <xf numFmtId="0" fontId="1" fillId="0" borderId="3" xfId="0" applyFont="1" applyBorder="1" applyAlignment="1">
      <alignment wrapText="1"/>
    </xf>
    <xf numFmtId="3" fontId="1" fillId="0" borderId="3" xfId="0" applyNumberFormat="1" applyFont="1" applyBorder="1" applyAlignment="1">
      <alignment wrapText="1"/>
    </xf>
    <xf numFmtId="2" fontId="0" fillId="0" borderId="3" xfId="0" applyNumberFormat="1" applyBorder="1" applyAlignment="1">
      <alignment wrapText="1"/>
    </xf>
    <xf numFmtId="3" fontId="0" fillId="0" borderId="4" xfId="0" applyNumberFormat="1" applyBorder="1" applyAlignment="1">
      <alignment wrapText="1"/>
    </xf>
    <xf numFmtId="2" fontId="4" fillId="0" borderId="3" xfId="0" applyNumberFormat="1" applyFont="1" applyBorder="1" applyAlignment="1">
      <alignment wrapText="1"/>
    </xf>
    <xf numFmtId="4" fontId="4" fillId="0" borderId="3" xfId="0" applyNumberFormat="1" applyFont="1" applyBorder="1" applyAlignment="1">
      <alignment wrapText="1"/>
    </xf>
    <xf numFmtId="38" fontId="1" fillId="0" borderId="3" xfId="0" applyNumberFormat="1" applyFont="1" applyBorder="1" applyAlignment="1">
      <alignment wrapText="1"/>
    </xf>
    <xf numFmtId="3" fontId="0" fillId="0" borderId="0" xfId="0" applyNumberFormat="1" applyBorder="1" applyAlignment="1">
      <alignment/>
    </xf>
    <xf numFmtId="0" fontId="0" fillId="0" borderId="3" xfId="0" applyFill="1" applyBorder="1" applyAlignment="1">
      <alignment/>
    </xf>
    <xf numFmtId="3" fontId="0" fillId="0" borderId="30" xfId="0" applyNumberFormat="1" applyBorder="1" applyAlignment="1">
      <alignment/>
    </xf>
    <xf numFmtId="0" fontId="1" fillId="0" borderId="35" xfId="0" applyFont="1" applyFill="1" applyBorder="1" applyAlignment="1">
      <alignment/>
    </xf>
    <xf numFmtId="3" fontId="1" fillId="0" borderId="36" xfId="0" applyNumberFormat="1" applyFont="1" applyBorder="1" applyAlignment="1">
      <alignment/>
    </xf>
    <xf numFmtId="3" fontId="1" fillId="0" borderId="37" xfId="0" applyNumberFormat="1" applyFont="1" applyBorder="1" applyAlignment="1">
      <alignment/>
    </xf>
    <xf numFmtId="0" fontId="0" fillId="0" borderId="30" xfId="0" applyBorder="1" applyAlignment="1">
      <alignment/>
    </xf>
    <xf numFmtId="0" fontId="12" fillId="0" borderId="0" xfId="0" applyFont="1" applyFill="1" applyBorder="1" applyAlignment="1">
      <alignment vertical="center" wrapText="1"/>
    </xf>
    <xf numFmtId="38" fontId="1" fillId="0" borderId="0" xfId="0" applyNumberFormat="1" applyFont="1" applyAlignment="1">
      <alignment vertical="center"/>
    </xf>
    <xf numFmtId="0" fontId="0" fillId="0" borderId="0" xfId="0" applyAlignment="1">
      <alignment horizontal="right"/>
    </xf>
    <xf numFmtId="8" fontId="0" fillId="0" borderId="0" xfId="0" applyNumberFormat="1" applyAlignment="1">
      <alignment/>
    </xf>
    <xf numFmtId="0" fontId="0" fillId="0" borderId="38" xfId="0" applyBorder="1" applyAlignment="1">
      <alignment/>
    </xf>
    <xf numFmtId="0" fontId="0" fillId="0" borderId="12"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0" xfId="0" applyFill="1" applyBorder="1" applyAlignment="1">
      <alignment/>
    </xf>
    <xf numFmtId="10" fontId="8" fillId="0" borderId="0" xfId="0" applyNumberFormat="1" applyFont="1" applyBorder="1" applyAlignment="1">
      <alignment/>
    </xf>
    <xf numFmtId="0" fontId="0" fillId="0" borderId="13" xfId="0" applyBorder="1" applyAlignment="1">
      <alignment/>
    </xf>
    <xf numFmtId="2" fontId="17" fillId="0" borderId="7" xfId="0" applyNumberFormat="1" applyFont="1" applyBorder="1" applyAlignment="1">
      <alignment horizontal="right"/>
    </xf>
    <xf numFmtId="2" fontId="8" fillId="0" borderId="0" xfId="0" applyNumberFormat="1" applyFont="1" applyBorder="1" applyAlignment="1">
      <alignment horizontal="right"/>
    </xf>
    <xf numFmtId="0" fontId="23" fillId="0" borderId="0" xfId="0" applyFont="1" applyAlignment="1">
      <alignment/>
    </xf>
    <xf numFmtId="0" fontId="23" fillId="0" borderId="0" xfId="0" applyFont="1" applyAlignment="1">
      <alignment wrapText="1"/>
    </xf>
    <xf numFmtId="4" fontId="0" fillId="0" borderId="0" xfId="0" applyNumberFormat="1" applyFont="1" applyBorder="1" applyAlignment="1">
      <alignment/>
    </xf>
    <xf numFmtId="9" fontId="0" fillId="0" borderId="2" xfId="0" applyNumberFormat="1" applyFont="1" applyFill="1" applyBorder="1" applyAlignment="1">
      <alignment horizontal="right"/>
    </xf>
    <xf numFmtId="0" fontId="16" fillId="0" borderId="0" xfId="0" applyFont="1" applyAlignment="1">
      <alignment/>
    </xf>
    <xf numFmtId="3" fontId="0" fillId="3" borderId="7" xfId="0" applyNumberFormat="1" applyFill="1" applyBorder="1" applyAlignment="1">
      <alignment wrapText="1"/>
    </xf>
    <xf numFmtId="0" fontId="1" fillId="0" borderId="0" xfId="0" applyFont="1" applyFill="1" applyBorder="1" applyAlignment="1">
      <alignment/>
    </xf>
    <xf numFmtId="0" fontId="3" fillId="0" borderId="3" xfId="0" applyFont="1" applyBorder="1" applyAlignment="1">
      <alignment/>
    </xf>
    <xf numFmtId="0" fontId="0" fillId="0" borderId="15" xfId="0" applyFont="1" applyBorder="1" applyAlignment="1" quotePrefix="1">
      <alignment wrapText="1"/>
    </xf>
    <xf numFmtId="0" fontId="28" fillId="0" borderId="0" xfId="0" applyFont="1" applyAlignment="1">
      <alignment vertical="center"/>
    </xf>
    <xf numFmtId="0" fontId="0" fillId="0" borderId="10" xfId="0" applyFont="1" applyBorder="1" applyAlignment="1">
      <alignment horizontal="center"/>
    </xf>
    <xf numFmtId="0" fontId="1" fillId="0" borderId="0" xfId="0" applyFont="1" applyFill="1" applyBorder="1" applyAlignment="1">
      <alignment wrapText="1"/>
    </xf>
    <xf numFmtId="8" fontId="0" fillId="0" borderId="0" xfId="0" applyNumberFormat="1" applyAlignment="1">
      <alignment wrapText="1"/>
    </xf>
    <xf numFmtId="0" fontId="0" fillId="0" borderId="0" xfId="0" applyFill="1" applyBorder="1" applyAlignment="1">
      <alignment wrapText="1"/>
    </xf>
    <xf numFmtId="0" fontId="0" fillId="0" borderId="0" xfId="0" applyAlignment="1">
      <alignment vertical="center"/>
    </xf>
    <xf numFmtId="0" fontId="16" fillId="0" borderId="34" xfId="0" applyFont="1" applyBorder="1" applyAlignment="1">
      <alignment wrapText="1"/>
    </xf>
    <xf numFmtId="0" fontId="0" fillId="0" borderId="32" xfId="0" applyBorder="1" applyAlignment="1">
      <alignment vertical="center" wrapText="1"/>
    </xf>
    <xf numFmtId="40" fontId="16" fillId="0" borderId="0" xfId="0" applyNumberFormat="1" applyFont="1" applyAlignment="1">
      <alignment/>
    </xf>
    <xf numFmtId="0" fontId="0" fillId="0" borderId="0" xfId="0" applyBorder="1" applyAlignment="1">
      <alignment/>
    </xf>
    <xf numFmtId="0" fontId="1" fillId="0" borderId="0" xfId="0" applyFont="1" applyFill="1" applyBorder="1" applyAlignment="1">
      <alignment/>
    </xf>
    <xf numFmtId="0" fontId="0" fillId="0" borderId="0" xfId="0" applyAlignment="1">
      <alignment vertical="center" wrapText="1"/>
    </xf>
    <xf numFmtId="38" fontId="1" fillId="0" borderId="21" xfId="0" applyNumberFormat="1" applyFont="1" applyBorder="1" applyAlignment="1">
      <alignment wrapText="1"/>
    </xf>
    <xf numFmtId="0" fontId="1" fillId="0" borderId="1" xfId="0" applyFont="1" applyFill="1" applyBorder="1" applyAlignment="1">
      <alignment wrapText="1"/>
    </xf>
    <xf numFmtId="8" fontId="0" fillId="0" borderId="1" xfId="0" applyNumberFormat="1" applyBorder="1" applyAlignment="1">
      <alignment wrapText="1"/>
    </xf>
    <xf numFmtId="3" fontId="0" fillId="0" borderId="39" xfId="0" applyNumberFormat="1" applyBorder="1" applyAlignment="1">
      <alignment/>
    </xf>
    <xf numFmtId="8" fontId="0" fillId="0" borderId="38" xfId="0" applyNumberFormat="1" applyBorder="1" applyAlignment="1">
      <alignment/>
    </xf>
    <xf numFmtId="8" fontId="0" fillId="0" borderId="38" xfId="0" applyNumberFormat="1" applyBorder="1" applyAlignment="1">
      <alignment wrapText="1"/>
    </xf>
    <xf numFmtId="3" fontId="0" fillId="0" borderId="38" xfId="0" applyNumberFormat="1" applyBorder="1" applyAlignment="1">
      <alignment/>
    </xf>
    <xf numFmtId="8" fontId="1" fillId="0" borderId="38" xfId="0" applyNumberFormat="1" applyFont="1" applyBorder="1" applyAlignment="1">
      <alignment/>
    </xf>
    <xf numFmtId="3" fontId="0" fillId="4" borderId="3" xfId="0" applyNumberFormat="1" applyFill="1" applyBorder="1" applyAlignment="1">
      <alignment/>
    </xf>
    <xf numFmtId="4" fontId="0" fillId="4" borderId="3" xfId="0" applyNumberFormat="1" applyFill="1" applyBorder="1" applyAlignment="1">
      <alignment wrapText="1"/>
    </xf>
    <xf numFmtId="3" fontId="1" fillId="4" borderId="3" xfId="0" applyNumberFormat="1" applyFont="1" applyFill="1" applyBorder="1" applyAlignment="1">
      <alignment wrapText="1"/>
    </xf>
    <xf numFmtId="3" fontId="0" fillId="4" borderId="0" xfId="0" applyNumberFormat="1" applyFill="1" applyAlignment="1">
      <alignment wrapText="1"/>
    </xf>
    <xf numFmtId="3" fontId="0" fillId="4" borderId="3" xfId="0" applyNumberFormat="1" applyFill="1" applyBorder="1" applyAlignment="1">
      <alignment wrapText="1"/>
    </xf>
    <xf numFmtId="3" fontId="1" fillId="4" borderId="4" xfId="0" applyNumberFormat="1" applyFont="1" applyFill="1" applyBorder="1" applyAlignment="1">
      <alignment wrapText="1"/>
    </xf>
    <xf numFmtId="3" fontId="0" fillId="4" borderId="4" xfId="0" applyNumberFormat="1" applyFill="1" applyBorder="1" applyAlignment="1">
      <alignment wrapText="1"/>
    </xf>
    <xf numFmtId="4" fontId="4" fillId="4" borderId="3" xfId="0" applyNumberFormat="1" applyFont="1" applyFill="1" applyBorder="1" applyAlignment="1">
      <alignment wrapText="1"/>
    </xf>
    <xf numFmtId="3" fontId="1" fillId="4" borderId="3" xfId="0" applyNumberFormat="1" applyFont="1" applyFill="1" applyBorder="1" applyAlignment="1">
      <alignment/>
    </xf>
    <xf numFmtId="3" fontId="0" fillId="4" borderId="0" xfId="0" applyNumberFormat="1" applyFill="1" applyAlignment="1">
      <alignment/>
    </xf>
    <xf numFmtId="4" fontId="0" fillId="4" borderId="3" xfId="0" applyNumberFormat="1" applyFill="1" applyBorder="1" applyAlignment="1">
      <alignment/>
    </xf>
    <xf numFmtId="3" fontId="1" fillId="4" borderId="4" xfId="0" applyNumberFormat="1" applyFont="1" applyFill="1" applyBorder="1" applyAlignment="1">
      <alignment/>
    </xf>
    <xf numFmtId="3" fontId="0" fillId="4" borderId="4" xfId="0" applyNumberFormat="1" applyFill="1" applyBorder="1" applyAlignment="1">
      <alignment/>
    </xf>
    <xf numFmtId="4" fontId="4" fillId="4" borderId="3" xfId="0" applyNumberFormat="1" applyFont="1" applyFill="1" applyBorder="1" applyAlignment="1">
      <alignment/>
    </xf>
    <xf numFmtId="38" fontId="1" fillId="4" borderId="3" xfId="0" applyNumberFormat="1" applyFont="1" applyFill="1" applyBorder="1" applyAlignment="1">
      <alignment/>
    </xf>
    <xf numFmtId="4" fontId="1" fillId="4" borderId="21" xfId="0" applyNumberFormat="1" applyFont="1" applyFill="1" applyBorder="1" applyAlignment="1">
      <alignment horizontal="center" wrapText="1"/>
    </xf>
    <xf numFmtId="38" fontId="0" fillId="4" borderId="3" xfId="0" applyNumberFormat="1" applyFill="1" applyBorder="1" applyAlignment="1">
      <alignment/>
    </xf>
    <xf numFmtId="38" fontId="0" fillId="4" borderId="0" xfId="0" applyNumberFormat="1" applyFill="1" applyBorder="1" applyAlignment="1">
      <alignment/>
    </xf>
    <xf numFmtId="4" fontId="0" fillId="4" borderId="4" xfId="0" applyNumberFormat="1" applyFill="1" applyBorder="1" applyAlignment="1">
      <alignment/>
    </xf>
    <xf numFmtId="38" fontId="0" fillId="4" borderId="4" xfId="0" applyNumberFormat="1" applyFill="1" applyBorder="1" applyAlignment="1">
      <alignment/>
    </xf>
    <xf numFmtId="38" fontId="4" fillId="4" borderId="3" xfId="0" applyNumberFormat="1" applyFont="1" applyFill="1" applyBorder="1" applyAlignment="1">
      <alignment/>
    </xf>
    <xf numFmtId="3" fontId="0" fillId="4" borderId="3" xfId="0" applyNumberFormat="1" applyFont="1" applyFill="1" applyBorder="1" applyAlignment="1">
      <alignment/>
    </xf>
    <xf numFmtId="0" fontId="3" fillId="0" borderId="3" xfId="0" applyFont="1" applyBorder="1" applyAlignment="1">
      <alignment wrapText="1"/>
    </xf>
    <xf numFmtId="38" fontId="3" fillId="0" borderId="3" xfId="0" applyNumberFormat="1" applyFont="1" applyBorder="1" applyAlignment="1">
      <alignment wrapText="1"/>
    </xf>
    <xf numFmtId="38" fontId="3" fillId="4" borderId="3" xfId="0" applyNumberFormat="1" applyFont="1" applyFill="1" applyBorder="1" applyAlignment="1">
      <alignment wrapText="1"/>
    </xf>
    <xf numFmtId="1" fontId="0" fillId="0" borderId="3" xfId="0" applyNumberFormat="1" applyBorder="1" applyAlignment="1">
      <alignment/>
    </xf>
    <xf numFmtId="38" fontId="1" fillId="0" borderId="21" xfId="0" applyNumberFormat="1" applyFont="1" applyBorder="1" applyAlignment="1">
      <alignment/>
    </xf>
    <xf numFmtId="0" fontId="3" fillId="0" borderId="1" xfId="0" applyFont="1" applyBorder="1" applyAlignment="1">
      <alignment/>
    </xf>
    <xf numFmtId="8" fontId="0" fillId="0" borderId="1" xfId="0" applyNumberFormat="1" applyBorder="1" applyAlignment="1">
      <alignment/>
    </xf>
    <xf numFmtId="0" fontId="33" fillId="0" borderId="0" xfId="0" applyFont="1" applyAlignment="1">
      <alignment/>
    </xf>
    <xf numFmtId="1" fontId="9" fillId="0" borderId="0" xfId="0" applyNumberFormat="1" applyFont="1" applyAlignment="1">
      <alignment horizontal="left"/>
    </xf>
    <xf numFmtId="9" fontId="19" fillId="0" borderId="0" xfId="0" applyNumberFormat="1" applyFont="1" applyAlignment="1">
      <alignment horizontal="center"/>
    </xf>
    <xf numFmtId="9" fontId="9" fillId="0" borderId="0" xfId="0" applyNumberFormat="1" applyFont="1" applyAlignment="1" applyProtection="1">
      <alignment horizontal="center"/>
      <protection/>
    </xf>
    <xf numFmtId="9" fontId="9" fillId="0" borderId="0" xfId="0" applyNumberFormat="1" applyFont="1" applyAlignment="1">
      <alignment horizontal="center"/>
    </xf>
    <xf numFmtId="9" fontId="21" fillId="0" borderId="26" xfId="0" applyNumberFormat="1" applyFont="1" applyBorder="1" applyAlignment="1">
      <alignment horizontal="center"/>
    </xf>
    <xf numFmtId="9" fontId="21" fillId="0" borderId="40" xfId="0" applyNumberFormat="1" applyFont="1" applyBorder="1" applyAlignment="1">
      <alignment horizontal="center"/>
    </xf>
    <xf numFmtId="9" fontId="21" fillId="0" borderId="41" xfId="0" applyNumberFormat="1" applyFont="1" applyBorder="1" applyAlignment="1">
      <alignment horizontal="center"/>
    </xf>
    <xf numFmtId="9" fontId="21" fillId="0" borderId="26" xfId="0" applyNumberFormat="1" applyFont="1" applyFill="1" applyBorder="1" applyAlignment="1" applyProtection="1">
      <alignment horizontal="center"/>
      <protection/>
    </xf>
    <xf numFmtId="9" fontId="21" fillId="0" borderId="42" xfId="0" applyNumberFormat="1" applyFont="1" applyBorder="1" applyAlignment="1">
      <alignment horizontal="center"/>
    </xf>
    <xf numFmtId="0" fontId="9" fillId="0" borderId="26" xfId="0" applyFont="1" applyBorder="1" applyAlignment="1">
      <alignment/>
    </xf>
    <xf numFmtId="9" fontId="21" fillId="0" borderId="26" xfId="0" applyNumberFormat="1" applyFont="1" applyBorder="1" applyAlignment="1" applyProtection="1">
      <alignment horizontal="center"/>
      <protection/>
    </xf>
    <xf numFmtId="0" fontId="24" fillId="0" borderId="0" xfId="0" applyFont="1" applyAlignment="1">
      <alignment/>
    </xf>
    <xf numFmtId="1" fontId="9" fillId="5" borderId="0" xfId="0" applyNumberFormat="1" applyFont="1" applyFill="1" applyAlignment="1" applyProtection="1">
      <alignment horizontal="center"/>
      <protection/>
    </xf>
    <xf numFmtId="1" fontId="21" fillId="5" borderId="26" xfId="0" applyNumberFormat="1" applyFont="1" applyFill="1" applyBorder="1" applyAlignment="1">
      <alignment horizontal="center"/>
    </xf>
    <xf numFmtId="1" fontId="21" fillId="5" borderId="26" xfId="0" applyNumberFormat="1" applyFont="1" applyFill="1" applyBorder="1" applyAlignment="1" applyProtection="1">
      <alignment horizontal="center"/>
      <protection/>
    </xf>
    <xf numFmtId="1" fontId="0" fillId="0" borderId="0" xfId="0" applyNumberFormat="1" applyAlignment="1">
      <alignment/>
    </xf>
    <xf numFmtId="0" fontId="3" fillId="2" borderId="3" xfId="0" applyFont="1" applyFill="1" applyBorder="1" applyAlignment="1">
      <alignment/>
    </xf>
    <xf numFmtId="0" fontId="0" fillId="2" borderId="3" xfId="0" applyFill="1" applyBorder="1" applyAlignment="1">
      <alignment/>
    </xf>
    <xf numFmtId="8" fontId="0" fillId="0" borderId="31" xfId="0" applyNumberFormat="1" applyBorder="1" applyAlignment="1">
      <alignment/>
    </xf>
    <xf numFmtId="0" fontId="0" fillId="0" borderId="1" xfId="0" applyBorder="1" applyAlignment="1">
      <alignment/>
    </xf>
    <xf numFmtId="6" fontId="1" fillId="0" borderId="38" xfId="0" applyNumberFormat="1" applyFont="1" applyBorder="1" applyAlignment="1">
      <alignment/>
    </xf>
    <xf numFmtId="0" fontId="0" fillId="0" borderId="38" xfId="0" applyFill="1" applyBorder="1" applyAlignment="1">
      <alignment/>
    </xf>
    <xf numFmtId="164" fontId="0" fillId="0" borderId="3" xfId="0" applyNumberFormat="1" applyFont="1" applyBorder="1" applyAlignment="1">
      <alignment/>
    </xf>
    <xf numFmtId="10" fontId="8" fillId="3" borderId="18" xfId="0" applyNumberFormat="1" applyFont="1" applyFill="1" applyBorder="1" applyAlignment="1" applyProtection="1">
      <alignment horizontal="right"/>
      <protection locked="0"/>
    </xf>
    <xf numFmtId="2" fontId="8" fillId="3" borderId="18" xfId="0" applyNumberFormat="1" applyFont="1" applyFill="1" applyBorder="1" applyAlignment="1">
      <alignment horizontal="right"/>
    </xf>
    <xf numFmtId="3" fontId="8" fillId="3" borderId="7" xfId="0" applyNumberFormat="1" applyFont="1" applyFill="1" applyBorder="1" applyAlignment="1" applyProtection="1">
      <alignment horizontal="right"/>
      <protection locked="0"/>
    </xf>
    <xf numFmtId="10" fontId="8" fillId="3" borderId="7" xfId="0" applyNumberFormat="1" applyFont="1" applyFill="1" applyBorder="1" applyAlignment="1" applyProtection="1">
      <alignment horizontal="right"/>
      <protection locked="0"/>
    </xf>
    <xf numFmtId="10" fontId="8" fillId="3" borderId="7" xfId="0" applyNumberFormat="1" applyFont="1" applyFill="1" applyBorder="1" applyAlignment="1">
      <alignment horizontal="right"/>
    </xf>
    <xf numFmtId="0" fontId="8" fillId="3" borderId="7" xfId="0" applyFont="1" applyFill="1" applyBorder="1" applyAlignment="1">
      <alignment horizontal="right"/>
    </xf>
    <xf numFmtId="0" fontId="8" fillId="3" borderId="12" xfId="0" applyFont="1" applyFill="1" applyBorder="1" applyAlignment="1">
      <alignment horizontal="right"/>
    </xf>
    <xf numFmtId="9" fontId="8" fillId="3" borderId="7" xfId="0" applyNumberFormat="1" applyFont="1" applyFill="1" applyBorder="1" applyAlignment="1">
      <alignment horizontal="right"/>
    </xf>
    <xf numFmtId="10" fontId="0" fillId="0" borderId="0" xfId="0" applyNumberFormat="1" applyAlignment="1">
      <alignment/>
    </xf>
    <xf numFmtId="10" fontId="0" fillId="0" borderId="3" xfId="0" applyNumberFormat="1" applyBorder="1" applyAlignment="1">
      <alignment/>
    </xf>
    <xf numFmtId="10" fontId="0" fillId="0" borderId="30" xfId="0" applyNumberFormat="1" applyBorder="1" applyAlignment="1">
      <alignment/>
    </xf>
    <xf numFmtId="10" fontId="0" fillId="0" borderId="6" xfId="0" applyNumberFormat="1" applyBorder="1" applyAlignment="1">
      <alignment/>
    </xf>
    <xf numFmtId="2" fontId="8" fillId="3" borderId="7" xfId="0" applyNumberFormat="1" applyFont="1" applyFill="1" applyBorder="1" applyAlignment="1">
      <alignment horizontal="right"/>
    </xf>
    <xf numFmtId="1" fontId="8" fillId="3" borderId="7" xfId="0" applyNumberFormat="1" applyFont="1" applyFill="1" applyBorder="1" applyAlignment="1">
      <alignment horizontal="right"/>
    </xf>
    <xf numFmtId="0" fontId="8" fillId="3" borderId="12" xfId="0" applyFont="1" applyFill="1" applyBorder="1" applyAlignment="1">
      <alignment/>
    </xf>
    <xf numFmtId="10" fontId="8" fillId="3" borderId="7" xfId="0" applyNumberFormat="1" applyFont="1" applyFill="1" applyBorder="1" applyAlignment="1">
      <alignment/>
    </xf>
    <xf numFmtId="164" fontId="8" fillId="3" borderId="7" xfId="0" applyNumberFormat="1" applyFont="1" applyFill="1" applyBorder="1" applyAlignment="1">
      <alignment/>
    </xf>
    <xf numFmtId="10" fontId="8" fillId="3" borderId="8" xfId="0" applyNumberFormat="1" applyFont="1" applyFill="1" applyBorder="1" applyAlignment="1">
      <alignment/>
    </xf>
    <xf numFmtId="0" fontId="8" fillId="3" borderId="8" xfId="0" applyFont="1" applyFill="1" applyBorder="1" applyAlignment="1">
      <alignment/>
    </xf>
    <xf numFmtId="0" fontId="8" fillId="3" borderId="10" xfId="0" applyFont="1" applyFill="1" applyBorder="1" applyAlignment="1">
      <alignment horizontal="right"/>
    </xf>
    <xf numFmtId="4" fontId="8" fillId="3" borderId="7" xfId="0" applyNumberFormat="1" applyFont="1" applyFill="1" applyBorder="1" applyAlignment="1">
      <alignment/>
    </xf>
    <xf numFmtId="9" fontId="8" fillId="3" borderId="10" xfId="0" applyNumberFormat="1" applyFont="1" applyFill="1" applyBorder="1" applyAlignment="1">
      <alignment horizontal="right"/>
    </xf>
    <xf numFmtId="4" fontId="8" fillId="3" borderId="18" xfId="0" applyNumberFormat="1" applyFont="1" applyFill="1" applyBorder="1" applyAlignment="1">
      <alignment/>
    </xf>
    <xf numFmtId="2" fontId="8" fillId="3" borderId="7" xfId="0" applyNumberFormat="1" applyFont="1" applyFill="1" applyBorder="1" applyAlignment="1">
      <alignment/>
    </xf>
    <xf numFmtId="0" fontId="0" fillId="3" borderId="7" xfId="0" applyFill="1" applyBorder="1" applyAlignment="1">
      <alignment wrapText="1"/>
    </xf>
    <xf numFmtId="0" fontId="1" fillId="6" borderId="43" xfId="0" applyFont="1" applyFill="1" applyBorder="1" applyAlignment="1">
      <alignment/>
    </xf>
    <xf numFmtId="0" fontId="0" fillId="6" borderId="43" xfId="0" applyFill="1" applyBorder="1" applyAlignment="1">
      <alignment/>
    </xf>
    <xf numFmtId="0" fontId="0" fillId="6" borderId="43" xfId="0" applyFill="1" applyBorder="1" applyAlignment="1">
      <alignment horizontal="left"/>
    </xf>
    <xf numFmtId="2" fontId="0" fillId="6" borderId="43" xfId="0" applyNumberFormat="1" applyFill="1" applyBorder="1" applyAlignment="1">
      <alignment/>
    </xf>
    <xf numFmtId="1" fontId="0" fillId="6" borderId="43" xfId="0" applyNumberFormat="1" applyFill="1" applyBorder="1" applyAlignment="1">
      <alignment horizontal="center"/>
    </xf>
    <xf numFmtId="164" fontId="1" fillId="6" borderId="44" xfId="0" applyNumberFormat="1" applyFont="1" applyFill="1" applyBorder="1" applyAlignment="1">
      <alignment horizontal="right"/>
    </xf>
    <xf numFmtId="0" fontId="3" fillId="6" borderId="0" xfId="0" applyFont="1" applyFill="1" applyAlignment="1">
      <alignment/>
    </xf>
    <xf numFmtId="0" fontId="1" fillId="6" borderId="0" xfId="0" applyFont="1" applyFill="1" applyAlignment="1">
      <alignment horizontal="center"/>
    </xf>
    <xf numFmtId="0" fontId="1" fillId="6" borderId="0" xfId="0" applyFont="1" applyFill="1" applyAlignment="1">
      <alignment horizontal="center" wrapText="1"/>
    </xf>
    <xf numFmtId="4" fontId="1" fillId="6" borderId="0" xfId="0" applyNumberFormat="1" applyFont="1" applyFill="1" applyAlignment="1">
      <alignment horizontal="center"/>
    </xf>
    <xf numFmtId="0" fontId="0" fillId="7" borderId="0" xfId="0" applyFill="1" applyAlignment="1">
      <alignment/>
    </xf>
    <xf numFmtId="2" fontId="0" fillId="0" borderId="7" xfId="0" applyNumberFormat="1" applyBorder="1" applyAlignment="1">
      <alignment wrapText="1"/>
    </xf>
    <xf numFmtId="2" fontId="0" fillId="3" borderId="7" xfId="0" applyNumberFormat="1" applyFill="1" applyBorder="1" applyAlignment="1">
      <alignment wrapText="1"/>
    </xf>
    <xf numFmtId="0" fontId="37" fillId="7" borderId="0" xfId="0" applyFont="1" applyFill="1" applyAlignment="1">
      <alignment horizontal="center"/>
    </xf>
    <xf numFmtId="0" fontId="2" fillId="7" borderId="0" xfId="0" applyFont="1" applyFill="1" applyAlignment="1">
      <alignment horizontal="center"/>
    </xf>
    <xf numFmtId="0" fontId="43" fillId="0" borderId="0" xfId="0" applyFont="1" applyAlignment="1">
      <alignment horizontal="center"/>
    </xf>
    <xf numFmtId="0" fontId="44" fillId="7" borderId="0" xfId="0" applyFont="1" applyFill="1" applyAlignment="1">
      <alignment horizontal="center"/>
    </xf>
    <xf numFmtId="0" fontId="0" fillId="0" borderId="8" xfId="0" applyBorder="1" applyAlignment="1">
      <alignment/>
    </xf>
    <xf numFmtId="3" fontId="8" fillId="3" borderId="7" xfId="0" applyNumberFormat="1" applyFont="1" applyFill="1" applyBorder="1" applyAlignment="1">
      <alignment wrapText="1"/>
    </xf>
    <xf numFmtId="0" fontId="1" fillId="2" borderId="45" xfId="0" applyFont="1" applyFill="1" applyBorder="1" applyAlignment="1">
      <alignment wrapText="1"/>
    </xf>
    <xf numFmtId="0" fontId="0" fillId="2" borderId="45" xfId="0" applyFill="1" applyBorder="1" applyAlignment="1">
      <alignment wrapText="1"/>
    </xf>
    <xf numFmtId="3" fontId="0" fillId="2" borderId="45" xfId="0" applyNumberFormat="1" applyFill="1" applyBorder="1" applyAlignment="1">
      <alignment wrapText="1"/>
    </xf>
    <xf numFmtId="3" fontId="1" fillId="2" borderId="46" xfId="0" applyNumberFormat="1" applyFont="1" applyFill="1" applyBorder="1" applyAlignment="1">
      <alignment wrapText="1"/>
    </xf>
    <xf numFmtId="3" fontId="23" fillId="0" borderId="0" xfId="0" applyNumberFormat="1" applyFont="1" applyAlignment="1">
      <alignment wrapText="1"/>
    </xf>
    <xf numFmtId="3" fontId="23" fillId="0" borderId="0" xfId="0" applyNumberFormat="1" applyFont="1" applyBorder="1" applyAlignment="1">
      <alignment wrapText="1"/>
    </xf>
    <xf numFmtId="3" fontId="23" fillId="0" borderId="0" xfId="0" applyNumberFormat="1" applyFont="1" applyFill="1" applyBorder="1" applyAlignment="1">
      <alignment wrapText="1"/>
    </xf>
    <xf numFmtId="0" fontId="12" fillId="5" borderId="2" xfId="0" applyFont="1" applyFill="1" applyBorder="1" applyAlignment="1">
      <alignment wrapText="1"/>
    </xf>
    <xf numFmtId="0" fontId="7" fillId="5" borderId="2" xfId="0" applyFont="1" applyFill="1" applyBorder="1" applyAlignment="1">
      <alignment wrapText="1"/>
    </xf>
    <xf numFmtId="3" fontId="7" fillId="5" borderId="2" xfId="0" applyNumberFormat="1" applyFont="1" applyFill="1" applyBorder="1" applyAlignment="1">
      <alignment wrapText="1"/>
    </xf>
    <xf numFmtId="3" fontId="4" fillId="5" borderId="2" xfId="0" applyNumberFormat="1" applyFont="1" applyFill="1" applyBorder="1" applyAlignment="1">
      <alignment wrapText="1"/>
    </xf>
    <xf numFmtId="0" fontId="0" fillId="0" borderId="28" xfId="0" applyBorder="1" applyAlignment="1">
      <alignment/>
    </xf>
    <xf numFmtId="3" fontId="1" fillId="0" borderId="9" xfId="0" applyNumberFormat="1" applyFont="1" applyBorder="1" applyAlignment="1">
      <alignment wrapText="1"/>
    </xf>
    <xf numFmtId="0" fontId="8" fillId="0" borderId="0" xfId="0" applyFont="1" applyAlignment="1">
      <alignment wrapText="1"/>
    </xf>
    <xf numFmtId="9" fontId="8" fillId="5" borderId="7" xfId="0" applyNumberFormat="1" applyFont="1" applyFill="1" applyBorder="1" applyAlignment="1">
      <alignment wrapText="1"/>
    </xf>
    <xf numFmtId="3" fontId="8" fillId="0" borderId="0" xfId="0" applyNumberFormat="1" applyFont="1" applyAlignment="1">
      <alignment wrapText="1"/>
    </xf>
    <xf numFmtId="9" fontId="8" fillId="0" borderId="0" xfId="0" applyNumberFormat="1" applyFont="1" applyFill="1" applyBorder="1" applyAlignment="1">
      <alignment wrapText="1"/>
    </xf>
    <xf numFmtId="3" fontId="8" fillId="3" borderId="7" xfId="0" applyNumberFormat="1" applyFont="1" applyFill="1" applyBorder="1" applyAlignment="1">
      <alignment wrapText="1"/>
    </xf>
    <xf numFmtId="0" fontId="8" fillId="3" borderId="7" xfId="0" applyFont="1" applyFill="1" applyBorder="1" applyAlignment="1">
      <alignment wrapText="1"/>
    </xf>
    <xf numFmtId="3" fontId="0" fillId="0" borderId="7" xfId="0" applyNumberFormat="1" applyFont="1" applyBorder="1" applyAlignment="1">
      <alignment wrapText="1"/>
    </xf>
    <xf numFmtId="3" fontId="0" fillId="8" borderId="47" xfId="0" applyNumberFormat="1" applyFill="1" applyBorder="1" applyAlignment="1">
      <alignment wrapText="1"/>
    </xf>
    <xf numFmtId="0" fontId="0" fillId="8" borderId="47" xfId="0" applyFill="1" applyBorder="1" applyAlignment="1">
      <alignment wrapText="1"/>
    </xf>
    <xf numFmtId="0" fontId="8" fillId="8" borderId="47" xfId="0" applyFont="1" applyFill="1" applyBorder="1" applyAlignment="1">
      <alignment wrapText="1"/>
    </xf>
    <xf numFmtId="3" fontId="0" fillId="8" borderId="24" xfId="0" applyNumberFormat="1" applyFill="1" applyBorder="1" applyAlignment="1">
      <alignment wrapText="1"/>
    </xf>
    <xf numFmtId="0" fontId="0" fillId="8" borderId="24" xfId="0" applyFill="1" applyBorder="1" applyAlignment="1">
      <alignment wrapText="1"/>
    </xf>
    <xf numFmtId="9" fontId="8" fillId="8" borderId="24" xfId="0" applyNumberFormat="1" applyFont="1" applyFill="1" applyBorder="1" applyAlignment="1">
      <alignment wrapText="1"/>
    </xf>
    <xf numFmtId="0" fontId="1" fillId="8" borderId="0" xfId="0" applyFont="1" applyFill="1" applyBorder="1" applyAlignment="1">
      <alignment wrapText="1"/>
    </xf>
    <xf numFmtId="3" fontId="0" fillId="8" borderId="0" xfId="0" applyNumberFormat="1" applyFill="1" applyBorder="1" applyAlignment="1">
      <alignment wrapText="1"/>
    </xf>
    <xf numFmtId="0" fontId="0" fillId="8" borderId="0" xfId="0" applyFill="1" applyBorder="1" applyAlignment="1">
      <alignment wrapText="1"/>
    </xf>
    <xf numFmtId="9" fontId="8" fillId="8" borderId="0" xfId="0" applyNumberFormat="1" applyFont="1" applyFill="1" applyBorder="1" applyAlignment="1">
      <alignment wrapText="1"/>
    </xf>
    <xf numFmtId="3" fontId="1" fillId="9" borderId="6" xfId="0" applyNumberFormat="1" applyFont="1" applyFill="1" applyBorder="1" applyAlignment="1">
      <alignment horizontal="center" vertical="center" wrapText="1"/>
    </xf>
    <xf numFmtId="1" fontId="8" fillId="3" borderId="10" xfId="0" applyNumberFormat="1" applyFont="1" applyFill="1" applyBorder="1" applyAlignment="1">
      <alignment horizontal="right"/>
    </xf>
    <xf numFmtId="0" fontId="0" fillId="0" borderId="0" xfId="0" applyFont="1" applyFill="1" applyBorder="1" applyAlignment="1">
      <alignment horizontal="right"/>
    </xf>
    <xf numFmtId="0" fontId="1" fillId="10" borderId="3" xfId="0" applyFont="1" applyFill="1" applyBorder="1" applyAlignment="1">
      <alignment horizontal="center"/>
    </xf>
    <xf numFmtId="3" fontId="8" fillId="0" borderId="7" xfId="0" applyNumberFormat="1" applyFont="1" applyFill="1" applyBorder="1" applyAlignment="1">
      <alignment wrapText="1"/>
    </xf>
    <xf numFmtId="0" fontId="0" fillId="0" borderId="7" xfId="0" applyFill="1" applyBorder="1" applyAlignment="1">
      <alignment/>
    </xf>
    <xf numFmtId="0" fontId="8" fillId="3" borderId="7" xfId="0" applyFont="1" applyFill="1" applyBorder="1" applyAlignment="1">
      <alignment/>
    </xf>
    <xf numFmtId="0" fontId="1" fillId="10" borderId="3" xfId="0" applyFont="1" applyFill="1" applyBorder="1" applyAlignment="1">
      <alignment horizontal="center" wrapText="1"/>
    </xf>
    <xf numFmtId="168" fontId="0" fillId="0" borderId="3" xfId="0" applyNumberFormat="1" applyBorder="1" applyAlignment="1">
      <alignment/>
    </xf>
    <xf numFmtId="0" fontId="1" fillId="10" borderId="20" xfId="0" applyFont="1" applyFill="1" applyBorder="1" applyAlignment="1">
      <alignment horizontal="center"/>
    </xf>
    <xf numFmtId="4" fontId="8" fillId="3" borderId="12" xfId="0" applyNumberFormat="1" applyFont="1" applyFill="1" applyBorder="1" applyAlignment="1">
      <alignment/>
    </xf>
    <xf numFmtId="4" fontId="8" fillId="3" borderId="48" xfId="0" applyNumberFormat="1" applyFont="1" applyFill="1" applyBorder="1" applyAlignment="1">
      <alignment wrapText="1"/>
    </xf>
    <xf numFmtId="3" fontId="0" fillId="0" borderId="49" xfId="0" applyNumberFormat="1" applyFill="1" applyBorder="1" applyAlignment="1">
      <alignment wrapText="1"/>
    </xf>
    <xf numFmtId="0" fontId="1" fillId="11" borderId="3" xfId="0" applyFont="1" applyFill="1" applyBorder="1" applyAlignment="1">
      <alignment horizontal="center" wrapText="1"/>
    </xf>
    <xf numFmtId="4" fontId="0" fillId="0" borderId="7" xfId="0" applyNumberFormat="1" applyFill="1" applyBorder="1" applyAlignment="1">
      <alignment wrapText="1"/>
    </xf>
    <xf numFmtId="169" fontId="0" fillId="0" borderId="0" xfId="0" applyNumberFormat="1" applyAlignment="1">
      <alignment/>
    </xf>
    <xf numFmtId="169" fontId="1" fillId="0" borderId="0" xfId="0" applyNumberFormat="1" applyFont="1" applyAlignment="1">
      <alignment/>
    </xf>
    <xf numFmtId="0" fontId="1" fillId="6" borderId="7" xfId="0" applyFont="1" applyFill="1" applyBorder="1" applyAlignment="1">
      <alignment wrapText="1"/>
    </xf>
    <xf numFmtId="0" fontId="1" fillId="6" borderId="0" xfId="0" applyFont="1" applyFill="1" applyBorder="1" applyAlignment="1">
      <alignment horizontal="center" vertical="center" wrapText="1"/>
    </xf>
    <xf numFmtId="0" fontId="3" fillId="0" borderId="6" xfId="0" applyFont="1" applyBorder="1" applyAlignment="1">
      <alignment horizontal="center" vertical="center" wrapText="1"/>
    </xf>
    <xf numFmtId="0" fontId="1" fillId="6" borderId="50" xfId="0" applyFont="1" applyFill="1" applyBorder="1" applyAlignment="1">
      <alignment wrapText="1"/>
    </xf>
    <xf numFmtId="0" fontId="0" fillId="6" borderId="46" xfId="0" applyFill="1" applyBorder="1" applyAlignment="1">
      <alignment/>
    </xf>
    <xf numFmtId="4" fontId="8" fillId="6" borderId="46" xfId="0" applyNumberFormat="1" applyFont="1" applyFill="1" applyBorder="1" applyAlignment="1">
      <alignment/>
    </xf>
    <xf numFmtId="0" fontId="0" fillId="6" borderId="46" xfId="0" applyFill="1" applyBorder="1" applyAlignment="1">
      <alignment wrapText="1"/>
    </xf>
    <xf numFmtId="0" fontId="0" fillId="6" borderId="51" xfId="0" applyFill="1" applyBorder="1" applyAlignment="1">
      <alignment/>
    </xf>
    <xf numFmtId="0" fontId="1" fillId="6" borderId="50" xfId="0" applyFont="1" applyFill="1" applyBorder="1" applyAlignment="1">
      <alignment/>
    </xf>
    <xf numFmtId="0" fontId="0" fillId="6" borderId="46" xfId="0" applyFont="1" applyFill="1" applyBorder="1" applyAlignment="1">
      <alignment/>
    </xf>
    <xf numFmtId="0" fontId="8" fillId="6" borderId="46" xfId="0" applyFont="1" applyFill="1" applyBorder="1" applyAlignment="1">
      <alignment/>
    </xf>
    <xf numFmtId="3" fontId="3" fillId="0" borderId="9" xfId="0" applyNumberFormat="1" applyFont="1" applyBorder="1" applyAlignment="1">
      <alignment horizontal="left"/>
    </xf>
    <xf numFmtId="0" fontId="0" fillId="0" borderId="9" xfId="0" applyBorder="1" applyAlignment="1">
      <alignment wrapText="1"/>
    </xf>
    <xf numFmtId="3" fontId="0" fillId="0" borderId="7" xfId="0" applyNumberFormat="1" applyBorder="1" applyAlignment="1" quotePrefix="1">
      <alignment horizontal="center" wrapText="1"/>
    </xf>
    <xf numFmtId="1" fontId="0" fillId="0" borderId="28" xfId="0" applyNumberFormat="1" applyBorder="1" applyAlignment="1">
      <alignment/>
    </xf>
    <xf numFmtId="4" fontId="0" fillId="0" borderId="7" xfId="0" applyNumberFormat="1" applyFont="1" applyFill="1" applyBorder="1" applyAlignment="1">
      <alignment wrapText="1"/>
    </xf>
    <xf numFmtId="2" fontId="4" fillId="12" borderId="0" xfId="0" applyNumberFormat="1" applyFont="1" applyFill="1" applyAlignment="1">
      <alignment/>
    </xf>
    <xf numFmtId="0" fontId="0" fillId="0" borderId="22" xfId="0" applyBorder="1" applyAlignment="1">
      <alignment/>
    </xf>
    <xf numFmtId="4" fontId="8" fillId="3" borderId="8" xfId="0" applyNumberFormat="1" applyFont="1" applyFill="1" applyBorder="1" applyAlignment="1">
      <alignment/>
    </xf>
    <xf numFmtId="0" fontId="0" fillId="0" borderId="23" xfId="0" applyBorder="1" applyAlignment="1">
      <alignment/>
    </xf>
    <xf numFmtId="0" fontId="0" fillId="0" borderId="7" xfId="0" applyFont="1" applyFill="1" applyBorder="1" applyAlignment="1">
      <alignment/>
    </xf>
    <xf numFmtId="0" fontId="0" fillId="0" borderId="51" xfId="0" applyBorder="1" applyAlignment="1">
      <alignment/>
    </xf>
    <xf numFmtId="0" fontId="0" fillId="0" borderId="18" xfId="0" applyFont="1" applyFill="1" applyBorder="1" applyAlignment="1">
      <alignment/>
    </xf>
    <xf numFmtId="0" fontId="0" fillId="0" borderId="52" xfId="0" applyBorder="1" applyAlignment="1">
      <alignment wrapText="1"/>
    </xf>
    <xf numFmtId="0" fontId="0" fillId="0" borderId="53" xfId="0" applyBorder="1" applyAlignment="1">
      <alignment/>
    </xf>
    <xf numFmtId="9" fontId="8" fillId="0" borderId="7" xfId="0" applyNumberFormat="1" applyFont="1" applyFill="1" applyBorder="1" applyAlignment="1">
      <alignment wrapText="1"/>
    </xf>
    <xf numFmtId="9" fontId="8" fillId="0" borderId="29" xfId="0" applyNumberFormat="1" applyFont="1" applyBorder="1" applyAlignment="1">
      <alignment wrapText="1"/>
    </xf>
    <xf numFmtId="0" fontId="8" fillId="3" borderId="7" xfId="0" applyFont="1" applyFill="1" applyBorder="1" applyAlignment="1">
      <alignment wrapText="1"/>
    </xf>
    <xf numFmtId="0" fontId="8" fillId="3" borderId="8" xfId="0" applyFont="1" applyFill="1" applyBorder="1" applyAlignment="1">
      <alignment wrapText="1"/>
    </xf>
    <xf numFmtId="3" fontId="8" fillId="3" borderId="8" xfId="0" applyNumberFormat="1" applyFont="1" applyFill="1" applyBorder="1" applyAlignment="1">
      <alignment wrapText="1"/>
    </xf>
    <xf numFmtId="0" fontId="1" fillId="6" borderId="54" xfId="0" applyFont="1" applyFill="1" applyBorder="1" applyAlignment="1">
      <alignment wrapText="1"/>
    </xf>
    <xf numFmtId="3" fontId="1" fillId="6" borderId="54" xfId="0" applyNumberFormat="1" applyFont="1" applyFill="1" applyBorder="1" applyAlignment="1">
      <alignment wrapText="1"/>
    </xf>
    <xf numFmtId="0" fontId="4" fillId="5" borderId="7" xfId="0" applyFont="1" applyFill="1" applyBorder="1" applyAlignment="1">
      <alignment wrapText="1"/>
    </xf>
    <xf numFmtId="3" fontId="4" fillId="5" borderId="7" xfId="0" applyNumberFormat="1" applyFont="1" applyFill="1" applyBorder="1" applyAlignment="1">
      <alignment wrapText="1"/>
    </xf>
    <xf numFmtId="3" fontId="4" fillId="5" borderId="10" xfId="0" applyNumberFormat="1" applyFont="1" applyFill="1" applyBorder="1" applyAlignment="1">
      <alignment wrapText="1"/>
    </xf>
    <xf numFmtId="1" fontId="0" fillId="0" borderId="0" xfId="0" applyNumberFormat="1" applyBorder="1" applyAlignment="1">
      <alignment/>
    </xf>
    <xf numFmtId="9" fontId="0" fillId="0" borderId="0" xfId="0" applyNumberFormat="1" applyAlignment="1">
      <alignment/>
    </xf>
    <xf numFmtId="0" fontId="1" fillId="0" borderId="0" xfId="0" applyFont="1" applyBorder="1" applyAlignment="1">
      <alignment wrapText="1"/>
    </xf>
    <xf numFmtId="0" fontId="1" fillId="0" borderId="7" xfId="0" applyFont="1" applyBorder="1" applyAlignment="1">
      <alignment wrapText="1"/>
    </xf>
    <xf numFmtId="0" fontId="27" fillId="10" borderId="55" xfId="0" applyFont="1" applyFill="1" applyBorder="1" applyAlignment="1">
      <alignment vertical="center"/>
    </xf>
    <xf numFmtId="0" fontId="0" fillId="10" borderId="56" xfId="0" applyFill="1" applyBorder="1" applyAlignment="1">
      <alignment/>
    </xf>
    <xf numFmtId="0" fontId="0" fillId="10" borderId="57" xfId="0" applyFill="1" applyBorder="1" applyAlignment="1">
      <alignment/>
    </xf>
    <xf numFmtId="3" fontId="8" fillId="3" borderId="3" xfId="0" applyNumberFormat="1" applyFont="1" applyFill="1" applyBorder="1" applyAlignment="1">
      <alignment/>
    </xf>
    <xf numFmtId="0" fontId="8" fillId="3" borderId="3" xfId="0" applyFont="1" applyFill="1" applyBorder="1" applyAlignment="1">
      <alignment/>
    </xf>
    <xf numFmtId="0" fontId="4" fillId="12" borderId="0" xfId="0" applyFont="1" applyFill="1" applyAlignment="1">
      <alignment/>
    </xf>
    <xf numFmtId="4" fontId="4" fillId="12" borderId="0" xfId="0" applyNumberFormat="1" applyFont="1" applyFill="1" applyAlignment="1">
      <alignment/>
    </xf>
    <xf numFmtId="0" fontId="2" fillId="10" borderId="3" xfId="0" applyFont="1" applyFill="1" applyBorder="1" applyAlignment="1">
      <alignment vertical="center"/>
    </xf>
    <xf numFmtId="0" fontId="2" fillId="10" borderId="3" xfId="0" applyFont="1" applyFill="1" applyBorder="1" applyAlignment="1">
      <alignment horizontal="right" vertical="center"/>
    </xf>
    <xf numFmtId="0" fontId="3" fillId="12" borderId="35" xfId="0" applyFont="1" applyFill="1" applyBorder="1" applyAlignment="1">
      <alignment horizontal="center" vertical="center"/>
    </xf>
    <xf numFmtId="4" fontId="3" fillId="12" borderId="37" xfId="0" applyNumberFormat="1" applyFont="1" applyFill="1" applyBorder="1" applyAlignment="1">
      <alignment horizontal="right" vertical="center"/>
    </xf>
    <xf numFmtId="0" fontId="25" fillId="0" borderId="3" xfId="0" applyFont="1" applyFill="1" applyBorder="1" applyAlignment="1">
      <alignment wrapText="1"/>
    </xf>
    <xf numFmtId="4" fontId="45" fillId="3" borderId="3" xfId="0" applyNumberFormat="1" applyFont="1" applyFill="1" applyBorder="1" applyAlignment="1">
      <alignment/>
    </xf>
    <xf numFmtId="0" fontId="46" fillId="0" borderId="0" xfId="0" applyFont="1" applyAlignment="1">
      <alignment vertical="center"/>
    </xf>
    <xf numFmtId="0" fontId="3" fillId="10" borderId="55" xfId="0" applyFont="1" applyFill="1" applyBorder="1" applyAlignment="1">
      <alignment horizontal="center" vertical="center"/>
    </xf>
    <xf numFmtId="0" fontId="1" fillId="10" borderId="6" xfId="0" applyFont="1" applyFill="1" applyBorder="1" applyAlignment="1">
      <alignment horizontal="center" vertical="center"/>
    </xf>
    <xf numFmtId="0" fontId="1" fillId="10" borderId="6" xfId="0" applyFont="1" applyFill="1" applyBorder="1" applyAlignment="1">
      <alignment horizontal="center" vertical="center" wrapText="1"/>
    </xf>
    <xf numFmtId="3" fontId="8" fillId="3" borderId="30" xfId="0" applyNumberFormat="1" applyFont="1" applyFill="1" applyBorder="1" applyAlignment="1">
      <alignment/>
    </xf>
    <xf numFmtId="0" fontId="4" fillId="10" borderId="6" xfId="0" applyFont="1" applyFill="1" applyBorder="1" applyAlignment="1">
      <alignment horizontal="center" vertical="center"/>
    </xf>
    <xf numFmtId="0" fontId="1" fillId="12" borderId="35" xfId="0" applyFont="1" applyFill="1" applyBorder="1" applyAlignment="1">
      <alignment vertical="center"/>
    </xf>
    <xf numFmtId="3" fontId="1" fillId="12" borderId="36" xfId="0" applyNumberFormat="1" applyFont="1" applyFill="1" applyBorder="1" applyAlignment="1">
      <alignment vertical="center"/>
    </xf>
    <xf numFmtId="0" fontId="15" fillId="0" borderId="0" xfId="0" applyFont="1" applyFill="1" applyBorder="1" applyAlignment="1">
      <alignment vertical="center" wrapText="1"/>
    </xf>
    <xf numFmtId="38" fontId="3" fillId="0" borderId="0" xfId="0" applyNumberFormat="1" applyFont="1" applyAlignment="1">
      <alignment vertical="center"/>
    </xf>
    <xf numFmtId="0" fontId="1" fillId="5" borderId="6" xfId="0" applyFont="1" applyFill="1" applyBorder="1" applyAlignment="1">
      <alignment horizontal="center" vertical="center" wrapText="1"/>
    </xf>
    <xf numFmtId="38" fontId="1" fillId="5" borderId="6" xfId="0" applyNumberFormat="1" applyFont="1" applyFill="1" applyBorder="1" applyAlignment="1">
      <alignment horizontal="center" vertical="center" wrapText="1"/>
    </xf>
    <xf numFmtId="0" fontId="23" fillId="5" borderId="55" xfId="0" applyFont="1" applyFill="1" applyBorder="1" applyAlignment="1">
      <alignment wrapText="1"/>
    </xf>
    <xf numFmtId="0" fontId="23" fillId="5" borderId="6" xfId="0" applyFont="1" applyFill="1" applyBorder="1" applyAlignment="1">
      <alignment wrapText="1"/>
    </xf>
    <xf numFmtId="6" fontId="0" fillId="0" borderId="58" xfId="0" applyNumberFormat="1" applyBorder="1" applyAlignment="1">
      <alignment/>
    </xf>
    <xf numFmtId="6" fontId="0" fillId="0" borderId="59" xfId="0" applyNumberFormat="1" applyBorder="1" applyAlignment="1">
      <alignment/>
    </xf>
    <xf numFmtId="6" fontId="1" fillId="0" borderId="60" xfId="0" applyNumberFormat="1" applyFont="1" applyBorder="1" applyAlignment="1">
      <alignment/>
    </xf>
    <xf numFmtId="0" fontId="0" fillId="0" borderId="61" xfId="0" applyFill="1" applyBorder="1" applyAlignment="1">
      <alignment/>
    </xf>
    <xf numFmtId="8" fontId="0" fillId="0" borderId="62" xfId="0" applyNumberFormat="1" applyBorder="1" applyAlignment="1">
      <alignment/>
    </xf>
    <xf numFmtId="0" fontId="0" fillId="0" borderId="63" xfId="0" applyFont="1" applyBorder="1" applyAlignment="1">
      <alignment/>
    </xf>
    <xf numFmtId="8" fontId="0" fillId="0" borderId="7" xfId="0" applyNumberFormat="1" applyBorder="1" applyAlignment="1">
      <alignment/>
    </xf>
    <xf numFmtId="0" fontId="0" fillId="0" borderId="64" xfId="0" applyFont="1" applyBorder="1" applyAlignment="1">
      <alignment/>
    </xf>
    <xf numFmtId="38" fontId="1" fillId="0" borderId="29" xfId="0" applyNumberFormat="1" applyFont="1" applyBorder="1" applyAlignment="1">
      <alignment/>
    </xf>
    <xf numFmtId="6" fontId="0" fillId="0" borderId="65" xfId="0" applyNumberFormat="1" applyBorder="1" applyAlignment="1">
      <alignment/>
    </xf>
    <xf numFmtId="6" fontId="1" fillId="0" borderId="66" xfId="0" applyNumberFormat="1" applyFont="1" applyBorder="1" applyAlignment="1">
      <alignment/>
    </xf>
    <xf numFmtId="0" fontId="0" fillId="0" borderId="0" xfId="0" applyBorder="1" applyAlignment="1">
      <alignment horizontal="right"/>
    </xf>
    <xf numFmtId="3" fontId="0" fillId="0" borderId="7" xfId="0" applyNumberFormat="1" applyFont="1" applyFill="1" applyBorder="1" applyAlignment="1">
      <alignment wrapText="1"/>
    </xf>
    <xf numFmtId="0" fontId="1" fillId="6" borderId="0" xfId="0" applyFont="1" applyFill="1" applyAlignment="1">
      <alignment wrapText="1"/>
    </xf>
    <xf numFmtId="3" fontId="1" fillId="6" borderId="0" xfId="0" applyNumberFormat="1" applyFont="1" applyFill="1" applyAlignment="1">
      <alignment wrapText="1"/>
    </xf>
    <xf numFmtId="3" fontId="1" fillId="6" borderId="0" xfId="0" applyNumberFormat="1" applyFont="1" applyFill="1" applyBorder="1" applyAlignment="1">
      <alignment wrapText="1"/>
    </xf>
    <xf numFmtId="3" fontId="0" fillId="3" borderId="8" xfId="0" applyNumberFormat="1" applyFill="1" applyBorder="1" applyAlignment="1">
      <alignment wrapText="1"/>
    </xf>
    <xf numFmtId="9" fontId="8" fillId="0" borderId="10" xfId="0" applyNumberFormat="1" applyFont="1" applyFill="1" applyBorder="1" applyAlignment="1">
      <alignment wrapText="1"/>
    </xf>
    <xf numFmtId="0" fontId="23" fillId="0" borderId="67" xfId="0" applyFont="1" applyBorder="1" applyAlignment="1">
      <alignment wrapText="1"/>
    </xf>
    <xf numFmtId="3" fontId="23" fillId="0" borderId="67" xfId="0" applyNumberFormat="1" applyFont="1" applyBorder="1" applyAlignment="1">
      <alignment wrapText="1"/>
    </xf>
    <xf numFmtId="3" fontId="23" fillId="0" borderId="67" xfId="0" applyNumberFormat="1" applyFont="1" applyFill="1" applyBorder="1" applyAlignment="1">
      <alignment wrapText="1"/>
    </xf>
    <xf numFmtId="38" fontId="3" fillId="2" borderId="0" xfId="0" applyNumberFormat="1" applyFont="1" applyFill="1" applyBorder="1" applyAlignment="1">
      <alignment wrapText="1"/>
    </xf>
    <xf numFmtId="0" fontId="0" fillId="0" borderId="10" xfId="0" applyFont="1" applyBorder="1" applyAlignment="1">
      <alignment/>
    </xf>
    <xf numFmtId="0" fontId="0" fillId="0" borderId="25" xfId="0" applyFont="1" applyBorder="1" applyAlignment="1">
      <alignment wrapText="1"/>
    </xf>
    <xf numFmtId="0" fontId="3" fillId="0" borderId="0" xfId="0" applyFont="1" applyFill="1" applyBorder="1" applyAlignment="1">
      <alignment/>
    </xf>
    <xf numFmtId="0" fontId="0" fillId="0" borderId="22" xfId="0" applyFont="1" applyFill="1" applyBorder="1" applyAlignment="1">
      <alignment wrapText="1"/>
    </xf>
    <xf numFmtId="0" fontId="0" fillId="0" borderId="17" xfId="0" applyFont="1" applyBorder="1" applyAlignment="1">
      <alignment wrapText="1"/>
    </xf>
    <xf numFmtId="0" fontId="0" fillId="0" borderId="18" xfId="0" applyFont="1" applyFill="1" applyBorder="1" applyAlignment="1">
      <alignment/>
    </xf>
    <xf numFmtId="3" fontId="8" fillId="3" borderId="18" xfId="0" applyNumberFormat="1" applyFont="1" applyFill="1" applyBorder="1" applyAlignment="1">
      <alignment/>
    </xf>
    <xf numFmtId="10" fontId="8" fillId="3" borderId="10" xfId="0" applyNumberFormat="1" applyFont="1" applyFill="1" applyBorder="1" applyAlignment="1">
      <alignment horizontal="right"/>
    </xf>
    <xf numFmtId="0" fontId="49" fillId="0" borderId="29" xfId="0" applyFont="1" applyBorder="1" applyAlignment="1">
      <alignment/>
    </xf>
    <xf numFmtId="0" fontId="50" fillId="0" borderId="29" xfId="0" applyFont="1" applyBorder="1" applyAlignment="1">
      <alignment wrapText="1"/>
    </xf>
    <xf numFmtId="3" fontId="50" fillId="0" borderId="29" xfId="0" applyNumberFormat="1" applyFont="1" applyBorder="1" applyAlignment="1">
      <alignment wrapText="1"/>
    </xf>
    <xf numFmtId="3" fontId="49" fillId="0" borderId="29" xfId="0" applyNumberFormat="1" applyFont="1" applyFill="1" applyBorder="1" applyAlignment="1">
      <alignment wrapText="1"/>
    </xf>
    <xf numFmtId="0" fontId="49" fillId="0" borderId="7" xfId="0" applyFont="1" applyBorder="1" applyAlignment="1">
      <alignment/>
    </xf>
    <xf numFmtId="3" fontId="49" fillId="0" borderId="7" xfId="0" applyNumberFormat="1" applyFont="1" applyFill="1" applyBorder="1" applyAlignment="1">
      <alignment wrapText="1"/>
    </xf>
    <xf numFmtId="0" fontId="26" fillId="13" borderId="6" xfId="0" applyFont="1" applyFill="1" applyBorder="1" applyAlignment="1">
      <alignment wrapText="1"/>
    </xf>
    <xf numFmtId="0" fontId="1" fillId="13" borderId="6" xfId="0" applyFont="1" applyFill="1" applyBorder="1" applyAlignment="1">
      <alignment horizontal="center" vertical="center"/>
    </xf>
    <xf numFmtId="0" fontId="1" fillId="13" borderId="6" xfId="0" applyFont="1" applyFill="1" applyBorder="1" applyAlignment="1">
      <alignment horizontal="center" vertical="center" wrapText="1"/>
    </xf>
    <xf numFmtId="3" fontId="1" fillId="13" borderId="6" xfId="0" applyNumberFormat="1" applyFont="1" applyFill="1" applyBorder="1" applyAlignment="1">
      <alignment horizontal="center" vertical="center" wrapText="1"/>
    </xf>
    <xf numFmtId="0" fontId="13" fillId="13" borderId="6" xfId="0" applyFont="1" applyFill="1" applyBorder="1" applyAlignment="1">
      <alignment wrapText="1"/>
    </xf>
    <xf numFmtId="4" fontId="1" fillId="13" borderId="6" xfId="0" applyNumberFormat="1" applyFont="1" applyFill="1" applyBorder="1" applyAlignment="1">
      <alignment horizontal="center" vertical="center" wrapText="1"/>
    </xf>
    <xf numFmtId="0" fontId="0" fillId="0" borderId="46" xfId="0" applyBorder="1" applyAlignment="1">
      <alignment/>
    </xf>
    <xf numFmtId="0" fontId="13" fillId="13" borderId="6" xfId="0" applyFont="1" applyFill="1" applyBorder="1" applyAlignment="1">
      <alignment horizontal="left" vertical="center" wrapText="1"/>
    </xf>
    <xf numFmtId="2" fontId="0" fillId="0" borderId="3" xfId="0" applyNumberFormat="1" applyFont="1" applyBorder="1" applyAlignment="1">
      <alignment wrapText="1"/>
    </xf>
    <xf numFmtId="0" fontId="0" fillId="0" borderId="63" xfId="0" applyBorder="1" applyAlignment="1">
      <alignment/>
    </xf>
    <xf numFmtId="0" fontId="0" fillId="0" borderId="68" xfId="0" applyBorder="1" applyAlignment="1">
      <alignment wrapText="1"/>
    </xf>
    <xf numFmtId="1" fontId="0" fillId="0" borderId="3" xfId="0" applyNumberFormat="1" applyFont="1" applyBorder="1" applyAlignment="1">
      <alignment/>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24" xfId="0" applyBorder="1" applyAlignment="1">
      <alignment/>
    </xf>
    <xf numFmtId="3" fontId="0" fillId="0" borderId="7" xfId="0" applyNumberFormat="1" applyBorder="1" applyAlignment="1">
      <alignment/>
    </xf>
    <xf numFmtId="38" fontId="0" fillId="0" borderId="49" xfId="0" applyNumberFormat="1" applyBorder="1" applyAlignment="1">
      <alignment/>
    </xf>
    <xf numFmtId="38" fontId="0" fillId="0" borderId="7" xfId="0" applyNumberFormat="1" applyBorder="1" applyAlignment="1">
      <alignment/>
    </xf>
    <xf numFmtId="0" fontId="23" fillId="0" borderId="0" xfId="0" applyFont="1" applyAlignment="1">
      <alignment vertical="center"/>
    </xf>
    <xf numFmtId="9" fontId="1" fillId="0" borderId="0" xfId="0" applyNumberFormat="1" applyFont="1" applyAlignment="1">
      <alignment/>
    </xf>
    <xf numFmtId="38" fontId="0" fillId="0" borderId="46" xfId="0" applyNumberFormat="1" applyBorder="1" applyAlignment="1">
      <alignment/>
    </xf>
    <xf numFmtId="38" fontId="0" fillId="0" borderId="0" xfId="0" applyNumberFormat="1" applyAlignment="1">
      <alignment/>
    </xf>
    <xf numFmtId="170" fontId="0" fillId="0" borderId="24" xfId="0" applyNumberFormat="1" applyBorder="1" applyAlignment="1">
      <alignment/>
    </xf>
    <xf numFmtId="1" fontId="0" fillId="0" borderId="0" xfId="0" applyNumberFormat="1" applyFont="1" applyAlignment="1">
      <alignment horizontal="center"/>
    </xf>
    <xf numFmtId="9" fontId="0" fillId="0" borderId="0" xfId="0" applyNumberFormat="1" applyFont="1" applyAlignment="1">
      <alignment horizontal="center"/>
    </xf>
    <xf numFmtId="0" fontId="0" fillId="0" borderId="71" xfId="0" applyFont="1" applyFill="1" applyBorder="1" applyAlignment="1">
      <alignment/>
    </xf>
    <xf numFmtId="1" fontId="8" fillId="3" borderId="72" xfId="0" applyNumberFormat="1" applyFont="1" applyFill="1" applyBorder="1" applyAlignment="1">
      <alignment horizontal="center"/>
    </xf>
    <xf numFmtId="0" fontId="0" fillId="0" borderId="0" xfId="0" applyFont="1" applyBorder="1" applyAlignment="1">
      <alignment horizontal="center"/>
    </xf>
    <xf numFmtId="0" fontId="0" fillId="0" borderId="73" xfId="0" applyFont="1" applyBorder="1" applyAlignment="1">
      <alignment/>
    </xf>
    <xf numFmtId="1" fontId="8" fillId="3" borderId="74" xfId="0" applyNumberFormat="1" applyFont="1" applyFill="1" applyBorder="1" applyAlignment="1">
      <alignment horizontal="center"/>
    </xf>
    <xf numFmtId="1" fontId="0" fillId="0" borderId="0" xfId="0" applyNumberFormat="1" applyFont="1" applyBorder="1" applyAlignment="1">
      <alignment horizontal="center"/>
    </xf>
    <xf numFmtId="9" fontId="0" fillId="0" borderId="0" xfId="0" applyNumberFormat="1" applyFont="1" applyBorder="1" applyAlignment="1">
      <alignment horizontal="center"/>
    </xf>
    <xf numFmtId="9" fontId="0" fillId="0" borderId="0" xfId="0" applyNumberFormat="1" applyFont="1" applyBorder="1" applyAlignment="1" quotePrefix="1">
      <alignment horizontal="center"/>
    </xf>
    <xf numFmtId="0" fontId="0" fillId="0" borderId="73" xfId="0" applyFont="1" applyFill="1" applyBorder="1" applyAlignment="1">
      <alignment/>
    </xf>
    <xf numFmtId="0" fontId="0" fillId="0" borderId="75" xfId="0" applyFont="1" applyBorder="1" applyAlignment="1">
      <alignment/>
    </xf>
    <xf numFmtId="1" fontId="8" fillId="3" borderId="76" xfId="0" applyNumberFormat="1" applyFont="1" applyFill="1" applyBorder="1" applyAlignment="1">
      <alignment horizontal="center"/>
    </xf>
    <xf numFmtId="1" fontId="8" fillId="3" borderId="7" xfId="0" applyNumberFormat="1" applyFont="1" applyFill="1" applyBorder="1" applyAlignment="1">
      <alignment/>
    </xf>
    <xf numFmtId="0" fontId="0" fillId="0" borderId="0" xfId="0" applyFont="1" applyFill="1" applyAlignment="1">
      <alignment/>
    </xf>
    <xf numFmtId="1" fontId="0" fillId="0" borderId="0" xfId="0" applyNumberFormat="1" applyFont="1" applyFill="1" applyAlignment="1">
      <alignment/>
    </xf>
    <xf numFmtId="0" fontId="0" fillId="0" borderId="7" xfId="0" applyFont="1" applyFill="1" applyBorder="1" applyAlignment="1">
      <alignment wrapText="1"/>
    </xf>
    <xf numFmtId="2" fontId="8" fillId="3" borderId="12" xfId="0" applyNumberFormat="1" applyFont="1" applyFill="1" applyBorder="1" applyAlignment="1">
      <alignment/>
    </xf>
    <xf numFmtId="0" fontId="0" fillId="0" borderId="17" xfId="0" applyBorder="1" applyAlignment="1">
      <alignment/>
    </xf>
    <xf numFmtId="0" fontId="0" fillId="0" borderId="18" xfId="0" applyBorder="1" applyAlignment="1">
      <alignment/>
    </xf>
    <xf numFmtId="2" fontId="8" fillId="3" borderId="18" xfId="0" applyNumberFormat="1" applyFont="1" applyFill="1" applyBorder="1" applyAlignment="1">
      <alignment/>
    </xf>
    <xf numFmtId="0" fontId="0" fillId="0" borderId="15" xfId="0" applyBorder="1" applyAlignment="1">
      <alignment vertical="center" wrapText="1"/>
    </xf>
    <xf numFmtId="0" fontId="0" fillId="0" borderId="49" xfId="0" applyBorder="1" applyAlignment="1">
      <alignment/>
    </xf>
    <xf numFmtId="0" fontId="2" fillId="6" borderId="0" xfId="0" applyFont="1" applyFill="1" applyBorder="1" applyAlignment="1">
      <alignment/>
    </xf>
    <xf numFmtId="0" fontId="0" fillId="6" borderId="0" xfId="0" applyFill="1" applyAlignment="1">
      <alignment/>
    </xf>
    <xf numFmtId="0" fontId="0" fillId="6" borderId="0" xfId="0" applyFill="1" applyBorder="1" applyAlignment="1">
      <alignment/>
    </xf>
    <xf numFmtId="0" fontId="0" fillId="6" borderId="0" xfId="0" applyFill="1" applyBorder="1" applyAlignment="1">
      <alignment wrapText="1"/>
    </xf>
    <xf numFmtId="0" fontId="3" fillId="10" borderId="6" xfId="0" applyFont="1" applyFill="1" applyBorder="1" applyAlignment="1">
      <alignment/>
    </xf>
    <xf numFmtId="0" fontId="3" fillId="10" borderId="0" xfId="0" applyFont="1" applyFill="1" applyAlignment="1">
      <alignment/>
    </xf>
    <xf numFmtId="0" fontId="1" fillId="10" borderId="0" xfId="0" applyFont="1" applyFill="1" applyAlignment="1">
      <alignment horizontal="right"/>
    </xf>
    <xf numFmtId="0" fontId="1" fillId="10" borderId="3" xfId="0" applyFont="1" applyFill="1" applyBorder="1" applyAlignment="1">
      <alignment horizontal="center" vertical="center" wrapText="1"/>
    </xf>
    <xf numFmtId="0" fontId="1" fillId="10" borderId="35"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37" xfId="0" applyFont="1" applyFill="1" applyBorder="1" applyAlignment="1">
      <alignment horizontal="center" vertical="center" wrapText="1"/>
    </xf>
    <xf numFmtId="0" fontId="1" fillId="10" borderId="57" xfId="0" applyFont="1" applyFill="1" applyBorder="1" applyAlignment="1">
      <alignment horizontal="center" vertical="center" wrapText="1"/>
    </xf>
    <xf numFmtId="0" fontId="2" fillId="10" borderId="6" xfId="0" applyFont="1" applyFill="1" applyBorder="1" applyAlignment="1">
      <alignment horizontal="left"/>
    </xf>
    <xf numFmtId="0" fontId="0" fillId="0" borderId="18" xfId="0" applyFill="1" applyBorder="1" applyAlignment="1">
      <alignment/>
    </xf>
    <xf numFmtId="1" fontId="8" fillId="3" borderId="18" xfId="0" applyNumberFormat="1" applyFont="1" applyFill="1" applyBorder="1" applyAlignment="1">
      <alignment horizontal="right"/>
    </xf>
    <xf numFmtId="0" fontId="8" fillId="3" borderId="13" xfId="0" applyFont="1" applyFill="1" applyBorder="1" applyAlignment="1">
      <alignment/>
    </xf>
    <xf numFmtId="0" fontId="8" fillId="3" borderId="15" xfId="0" applyFont="1" applyFill="1" applyBorder="1" applyAlignment="1">
      <alignment/>
    </xf>
    <xf numFmtId="1" fontId="8" fillId="3" borderId="15" xfId="0" applyNumberFormat="1" applyFont="1" applyFill="1" applyBorder="1" applyAlignment="1">
      <alignment/>
    </xf>
    <xf numFmtId="1" fontId="8" fillId="3" borderId="16" xfId="0" applyNumberFormat="1" applyFont="1" applyFill="1" applyBorder="1" applyAlignment="1">
      <alignment/>
    </xf>
    <xf numFmtId="0" fontId="0" fillId="0" borderId="77" xfId="0" applyFill="1" applyBorder="1" applyAlignment="1">
      <alignment/>
    </xf>
    <xf numFmtId="0" fontId="8" fillId="3" borderId="62" xfId="0" applyFont="1" applyFill="1" applyBorder="1" applyAlignment="1">
      <alignment/>
    </xf>
    <xf numFmtId="0" fontId="8" fillId="3" borderId="62" xfId="0" applyFont="1" applyFill="1" applyBorder="1" applyAlignment="1">
      <alignment horizontal="right"/>
    </xf>
    <xf numFmtId="0" fontId="8" fillId="3" borderId="78" xfId="0" applyFont="1" applyFill="1" applyBorder="1" applyAlignment="1">
      <alignment wrapText="1"/>
    </xf>
    <xf numFmtId="0" fontId="8" fillId="3" borderId="7" xfId="0" applyFont="1" applyFill="1" applyBorder="1" applyAlignment="1">
      <alignment horizontal="right"/>
    </xf>
    <xf numFmtId="0" fontId="8" fillId="3" borderId="15" xfId="0" applyFont="1" applyFill="1" applyBorder="1" applyAlignment="1">
      <alignment wrapText="1"/>
    </xf>
    <xf numFmtId="0" fontId="8" fillId="3" borderId="18" xfId="0" applyFont="1" applyFill="1" applyBorder="1" applyAlignment="1">
      <alignment/>
    </xf>
    <xf numFmtId="0" fontId="0" fillId="0" borderId="18" xfId="0" applyFont="1" applyFill="1" applyBorder="1" applyAlignment="1" quotePrefix="1">
      <alignment horizontal="center" vertical="center"/>
    </xf>
    <xf numFmtId="0" fontId="8" fillId="3" borderId="16" xfId="0" applyFont="1" applyFill="1" applyBorder="1" applyAlignment="1">
      <alignment wrapText="1"/>
    </xf>
    <xf numFmtId="0" fontId="0" fillId="0" borderId="62" xfId="0" applyBorder="1" applyAlignment="1">
      <alignment wrapText="1"/>
    </xf>
    <xf numFmtId="9" fontId="8" fillId="3" borderId="62" xfId="0" applyNumberFormat="1" applyFont="1" applyFill="1" applyBorder="1" applyAlignment="1">
      <alignment horizontal="right"/>
    </xf>
    <xf numFmtId="0" fontId="0" fillId="0" borderId="78" xfId="0" applyBorder="1" applyAlignment="1">
      <alignment wrapText="1"/>
    </xf>
    <xf numFmtId="3" fontId="8" fillId="3" borderId="7" xfId="0" applyNumberFormat="1" applyFont="1" applyFill="1" applyBorder="1" applyAlignment="1">
      <alignment horizontal="right"/>
    </xf>
    <xf numFmtId="0" fontId="0" fillId="0" borderId="77" xfId="0" applyBorder="1" applyAlignment="1">
      <alignment/>
    </xf>
    <xf numFmtId="0" fontId="0" fillId="0" borderId="62" xfId="0" applyBorder="1" applyAlignment="1">
      <alignment/>
    </xf>
    <xf numFmtId="2" fontId="8" fillId="3" borderId="62" xfId="0" applyNumberFormat="1" applyFont="1" applyFill="1" applyBorder="1" applyAlignment="1">
      <alignment horizontal="right"/>
    </xf>
    <xf numFmtId="0" fontId="0" fillId="0" borderId="77" xfId="0" applyFont="1" applyFill="1" applyBorder="1" applyAlignment="1">
      <alignment/>
    </xf>
    <xf numFmtId="0" fontId="0" fillId="0" borderId="62" xfId="0" applyFont="1" applyBorder="1" applyAlignment="1">
      <alignment/>
    </xf>
    <xf numFmtId="3" fontId="8" fillId="3" borderId="62" xfId="0" applyNumberFormat="1" applyFont="1" applyFill="1" applyBorder="1" applyAlignment="1" applyProtection="1">
      <alignment horizontal="right"/>
      <protection locked="0"/>
    </xf>
    <xf numFmtId="0" fontId="0" fillId="0" borderId="78" xfId="0" applyFont="1" applyBorder="1" applyAlignment="1">
      <alignment wrapText="1"/>
    </xf>
    <xf numFmtId="0" fontId="3" fillId="6" borderId="14" xfId="0" applyFont="1" applyFill="1" applyBorder="1" applyAlignment="1">
      <alignment/>
    </xf>
    <xf numFmtId="0" fontId="0" fillId="6" borderId="7" xfId="0" applyFont="1" applyFill="1" applyBorder="1" applyAlignment="1">
      <alignment horizontal="center"/>
    </xf>
    <xf numFmtId="0" fontId="38" fillId="6" borderId="7" xfId="0" applyFont="1" applyFill="1" applyBorder="1" applyAlignment="1">
      <alignment horizontal="right"/>
    </xf>
    <xf numFmtId="0" fontId="0" fillId="6" borderId="15" xfId="0" applyFont="1" applyFill="1" applyBorder="1" applyAlignment="1">
      <alignment wrapText="1"/>
    </xf>
    <xf numFmtId="0" fontId="3" fillId="6" borderId="14" xfId="0" applyFont="1" applyFill="1" applyBorder="1" applyAlignment="1">
      <alignment wrapText="1"/>
    </xf>
    <xf numFmtId="0" fontId="1" fillId="0" borderId="11" xfId="0" applyFont="1" applyBorder="1" applyAlignment="1">
      <alignment/>
    </xf>
    <xf numFmtId="1" fontId="8" fillId="0" borderId="12" xfId="0" applyNumberFormat="1" applyFont="1" applyBorder="1" applyAlignment="1">
      <alignment/>
    </xf>
    <xf numFmtId="168" fontId="1" fillId="0" borderId="13" xfId="0" applyNumberFormat="1" applyFont="1" applyBorder="1" applyAlignment="1">
      <alignment/>
    </xf>
    <xf numFmtId="0" fontId="1" fillId="0" borderId="14" xfId="0" applyFont="1" applyBorder="1" applyAlignment="1">
      <alignment/>
    </xf>
    <xf numFmtId="1" fontId="8" fillId="0" borderId="7" xfId="0" applyNumberFormat="1" applyFont="1" applyBorder="1" applyAlignment="1">
      <alignment/>
    </xf>
    <xf numFmtId="168" fontId="1" fillId="0" borderId="15" xfId="0" applyNumberFormat="1" applyFont="1" applyBorder="1" applyAlignment="1">
      <alignment/>
    </xf>
    <xf numFmtId="168" fontId="1" fillId="6" borderId="15" xfId="0" applyNumberFormat="1" applyFont="1" applyFill="1" applyBorder="1" applyAlignment="1">
      <alignment/>
    </xf>
    <xf numFmtId="168" fontId="1" fillId="2" borderId="15" xfId="0" applyNumberFormat="1" applyFont="1" applyFill="1" applyBorder="1" applyAlignment="1">
      <alignment/>
    </xf>
    <xf numFmtId="0" fontId="0" fillId="3" borderId="7" xfId="0" applyFill="1" applyBorder="1" applyAlignment="1">
      <alignment/>
    </xf>
    <xf numFmtId="0" fontId="0" fillId="0" borderId="17" xfId="0" applyBorder="1" applyAlignment="1">
      <alignment wrapText="1"/>
    </xf>
    <xf numFmtId="0" fontId="0" fillId="3" borderId="18" xfId="0" applyFill="1" applyBorder="1" applyAlignment="1">
      <alignment/>
    </xf>
    <xf numFmtId="1" fontId="8" fillId="3" borderId="18" xfId="0" applyNumberFormat="1" applyFont="1" applyFill="1" applyBorder="1" applyAlignment="1">
      <alignment/>
    </xf>
    <xf numFmtId="168" fontId="1" fillId="0" borderId="16" xfId="0" applyNumberFormat="1" applyFont="1" applyBorder="1" applyAlignment="1">
      <alignment/>
    </xf>
    <xf numFmtId="3" fontId="27" fillId="0" borderId="0" xfId="0" applyNumberFormat="1" applyFont="1" applyAlignment="1">
      <alignment vertical="top" wrapText="1"/>
    </xf>
    <xf numFmtId="3" fontId="27" fillId="0" borderId="0" xfId="0" applyNumberFormat="1" applyFont="1" applyAlignment="1">
      <alignment vertical="top"/>
    </xf>
    <xf numFmtId="0" fontId="41" fillId="0" borderId="0" xfId="0" applyFont="1" applyAlignment="1">
      <alignment wrapText="1"/>
    </xf>
    <xf numFmtId="0" fontId="1" fillId="5" borderId="6" xfId="0" applyFont="1" applyFill="1" applyBorder="1" applyAlignment="1">
      <alignment horizontal="center" vertical="center" wrapText="1"/>
    </xf>
    <xf numFmtId="0" fontId="0" fillId="0" borderId="7" xfId="0" applyFont="1" applyBorder="1" applyAlignment="1">
      <alignment wrapText="1"/>
    </xf>
    <xf numFmtId="0" fontId="0" fillId="0" borderId="29" xfId="0" applyBorder="1" applyAlignment="1">
      <alignment wrapText="1"/>
    </xf>
    <xf numFmtId="0" fontId="1" fillId="8" borderId="47" xfId="0" applyFont="1" applyFill="1" applyBorder="1" applyAlignment="1">
      <alignment wrapText="1"/>
    </xf>
    <xf numFmtId="3" fontId="8" fillId="3" borderId="18" xfId="0" applyNumberFormat="1" applyFont="1" applyFill="1" applyBorder="1" applyAlignment="1">
      <alignment wrapText="1"/>
    </xf>
    <xf numFmtId="3" fontId="0" fillId="0" borderId="18" xfId="0" applyNumberFormat="1" applyBorder="1" applyAlignment="1">
      <alignment wrapText="1"/>
    </xf>
    <xf numFmtId="0" fontId="8" fillId="3" borderId="18" xfId="0" applyFont="1" applyFill="1" applyBorder="1" applyAlignment="1">
      <alignment wrapText="1"/>
    </xf>
    <xf numFmtId="9" fontId="8" fillId="5" borderId="18" xfId="0" applyNumberFormat="1" applyFont="1" applyFill="1" applyBorder="1" applyAlignment="1">
      <alignment wrapText="1"/>
    </xf>
    <xf numFmtId="3" fontId="0" fillId="0" borderId="18" xfId="0" applyNumberFormat="1" applyFont="1" applyBorder="1" applyAlignment="1">
      <alignment wrapText="1"/>
    </xf>
    <xf numFmtId="3" fontId="0" fillId="0" borderId="18" xfId="0" applyNumberFormat="1" applyBorder="1" applyAlignment="1" quotePrefix="1">
      <alignment horizontal="center" wrapText="1"/>
    </xf>
    <xf numFmtId="3" fontId="8" fillId="0" borderId="18" xfId="0" applyNumberFormat="1" applyFont="1" applyBorder="1" applyAlignment="1">
      <alignment wrapText="1"/>
    </xf>
    <xf numFmtId="0" fontId="8" fillId="0" borderId="18" xfId="0" applyFont="1" applyBorder="1" applyAlignment="1">
      <alignment wrapText="1"/>
    </xf>
    <xf numFmtId="3" fontId="0" fillId="3" borderId="18" xfId="0" applyNumberFormat="1" applyFill="1" applyBorder="1" applyAlignment="1">
      <alignment wrapText="1"/>
    </xf>
    <xf numFmtId="0" fontId="23" fillId="10" borderId="79" xfId="0" applyFont="1" applyFill="1" applyBorder="1" applyAlignment="1">
      <alignment wrapText="1"/>
    </xf>
    <xf numFmtId="3" fontId="23" fillId="10" borderId="80" xfId="0" applyNumberFormat="1" applyFont="1" applyFill="1" applyBorder="1" applyAlignment="1">
      <alignment wrapText="1"/>
    </xf>
    <xf numFmtId="0" fontId="24" fillId="10" borderId="80" xfId="0" applyFont="1" applyFill="1" applyBorder="1" applyAlignment="1">
      <alignment wrapText="1"/>
    </xf>
    <xf numFmtId="0" fontId="0" fillId="10" borderId="80" xfId="0" applyFill="1" applyBorder="1" applyAlignment="1">
      <alignment/>
    </xf>
    <xf numFmtId="3" fontId="8" fillId="0" borderId="7" xfId="0" applyNumberFormat="1" applyFont="1" applyFill="1" applyBorder="1" applyAlignment="1" applyProtection="1">
      <alignment/>
      <protection locked="0"/>
    </xf>
    <xf numFmtId="3" fontId="8" fillId="0" borderId="7" xfId="0" applyNumberFormat="1" applyFont="1" applyBorder="1" applyAlignment="1">
      <alignment horizontal="right" vertical="center" wrapText="1"/>
    </xf>
    <xf numFmtId="3" fontId="0" fillId="0" borderId="7" xfId="0" applyNumberFormat="1" applyFont="1" applyBorder="1" applyAlignment="1" quotePrefix="1">
      <alignment horizontal="right" vertical="center" wrapText="1"/>
    </xf>
    <xf numFmtId="3" fontId="0" fillId="0" borderId="7" xfId="0" applyNumberFormat="1" applyFont="1" applyBorder="1" applyAlignment="1">
      <alignment horizontal="right" vertical="center" wrapText="1"/>
    </xf>
    <xf numFmtId="3" fontId="0" fillId="0" borderId="7" xfId="0" applyNumberFormat="1" applyFont="1" applyBorder="1" applyAlignment="1">
      <alignment horizontal="right" wrapText="1"/>
    </xf>
    <xf numFmtId="3" fontId="8" fillId="0" borderId="29" xfId="0" applyNumberFormat="1" applyFont="1" applyFill="1" applyBorder="1" applyAlignment="1">
      <alignment wrapText="1"/>
    </xf>
    <xf numFmtId="3" fontId="8" fillId="0" borderId="29" xfId="0" applyNumberFormat="1" applyFont="1" applyBorder="1" applyAlignment="1">
      <alignment wrapText="1"/>
    </xf>
    <xf numFmtId="3" fontId="0" fillId="0" borderId="29" xfId="0" applyNumberFormat="1" applyFont="1" applyFill="1" applyBorder="1" applyAlignment="1">
      <alignment wrapText="1"/>
    </xf>
    <xf numFmtId="0" fontId="1" fillId="8" borderId="24" xfId="0" applyFont="1" applyFill="1" applyBorder="1" applyAlignment="1">
      <alignment wrapText="1"/>
    </xf>
    <xf numFmtId="3" fontId="8" fillId="3" borderId="8" xfId="0" applyNumberFormat="1" applyFont="1" applyFill="1" applyBorder="1" applyAlignment="1">
      <alignment wrapText="1"/>
    </xf>
    <xf numFmtId="0" fontId="8" fillId="3" borderId="8" xfId="0" applyFont="1" applyFill="1" applyBorder="1" applyAlignment="1">
      <alignment wrapText="1"/>
    </xf>
    <xf numFmtId="9" fontId="8" fillId="5" borderId="8" xfId="0" applyNumberFormat="1" applyFont="1" applyFill="1" applyBorder="1" applyAlignment="1">
      <alignment wrapText="1"/>
    </xf>
    <xf numFmtId="0" fontId="1" fillId="6" borderId="12" xfId="0" applyFont="1" applyFill="1" applyBorder="1" applyAlignment="1">
      <alignment wrapText="1"/>
    </xf>
    <xf numFmtId="3" fontId="1" fillId="6" borderId="12" xfId="0" applyNumberFormat="1" applyFont="1" applyFill="1" applyBorder="1" applyAlignment="1">
      <alignment wrapText="1"/>
    </xf>
    <xf numFmtId="9" fontId="8" fillId="6" borderId="12" xfId="0" applyNumberFormat="1" applyFont="1" applyFill="1" applyBorder="1" applyAlignment="1">
      <alignment wrapText="1"/>
    </xf>
    <xf numFmtId="0" fontId="0" fillId="6" borderId="12" xfId="0" applyFill="1" applyBorder="1" applyAlignment="1">
      <alignment wrapText="1"/>
    </xf>
    <xf numFmtId="3" fontId="0" fillId="6" borderId="12" xfId="0" applyNumberFormat="1" applyFill="1" applyBorder="1" applyAlignment="1">
      <alignment wrapText="1"/>
    </xf>
    <xf numFmtId="3" fontId="8" fillId="0" borderId="10" xfId="0" applyNumberFormat="1" applyFont="1" applyFill="1" applyBorder="1" applyAlignment="1">
      <alignment wrapText="1"/>
    </xf>
    <xf numFmtId="3" fontId="0" fillId="0" borderId="10" xfId="0" applyNumberFormat="1" applyFont="1" applyFill="1" applyBorder="1" applyAlignment="1">
      <alignment wrapText="1"/>
    </xf>
    <xf numFmtId="3" fontId="1" fillId="10" borderId="3" xfId="0" applyNumberFormat="1" applyFont="1" applyFill="1" applyBorder="1" applyAlignment="1">
      <alignment horizontal="center" vertical="center" wrapText="1"/>
    </xf>
    <xf numFmtId="0" fontId="3" fillId="0" borderId="81" xfId="0" applyFont="1" applyBorder="1" applyAlignment="1">
      <alignment wrapText="1"/>
    </xf>
    <xf numFmtId="3" fontId="14" fillId="0" borderId="82" xfId="0" applyNumberFormat="1" applyFont="1" applyBorder="1" applyAlignment="1">
      <alignment wrapText="1"/>
    </xf>
    <xf numFmtId="3" fontId="3" fillId="0" borderId="82" xfId="0" applyNumberFormat="1" applyFont="1" applyBorder="1" applyAlignment="1">
      <alignment wrapText="1"/>
    </xf>
    <xf numFmtId="3" fontId="3" fillId="0" borderId="83" xfId="0" applyNumberFormat="1" applyFont="1" applyBorder="1" applyAlignment="1">
      <alignment wrapText="1"/>
    </xf>
    <xf numFmtId="0" fontId="0" fillId="0" borderId="45" xfId="0" applyBorder="1" applyAlignment="1">
      <alignment wrapText="1"/>
    </xf>
    <xf numFmtId="0" fontId="0" fillId="0" borderId="7" xfId="0" applyFill="1" applyBorder="1" applyAlignment="1">
      <alignment wrapText="1"/>
    </xf>
    <xf numFmtId="3" fontId="0" fillId="0" borderId="7" xfId="0" applyNumberFormat="1" applyFill="1" applyBorder="1" applyAlignment="1" quotePrefix="1">
      <alignment horizontal="center" wrapText="1"/>
    </xf>
    <xf numFmtId="4" fontId="46" fillId="0" borderId="0" xfId="0" applyNumberFormat="1" applyFont="1" applyAlignment="1">
      <alignment horizontal="left"/>
    </xf>
    <xf numFmtId="0" fontId="46" fillId="0" borderId="0" xfId="0" applyFont="1" applyAlignment="1" quotePrefix="1">
      <alignment/>
    </xf>
    <xf numFmtId="9" fontId="1" fillId="12" borderId="36" xfId="0" applyNumberFormat="1" applyFont="1" applyFill="1" applyBorder="1" applyAlignment="1">
      <alignment vertical="center"/>
    </xf>
    <xf numFmtId="1" fontId="8" fillId="0" borderId="0" xfId="0" applyNumberFormat="1" applyFont="1" applyFill="1" applyBorder="1" applyAlignment="1">
      <alignment/>
    </xf>
    <xf numFmtId="0" fontId="27" fillId="0" borderId="0" xfId="0" applyFont="1" applyAlignment="1">
      <alignment/>
    </xf>
    <xf numFmtId="0" fontId="0" fillId="0" borderId="3" xfId="0" applyFill="1" applyBorder="1" applyAlignment="1" applyProtection="1">
      <alignment/>
      <protection locked="0"/>
    </xf>
    <xf numFmtId="0" fontId="0" fillId="0" borderId="3" xfId="0" applyFill="1" applyBorder="1" applyAlignment="1" applyProtection="1">
      <alignment horizontal="center"/>
      <protection locked="0"/>
    </xf>
    <xf numFmtId="4" fontId="0" fillId="0" borderId="3" xfId="0" applyNumberFormat="1" applyFill="1" applyBorder="1" applyAlignment="1" applyProtection="1">
      <alignment/>
      <protection locked="0"/>
    </xf>
    <xf numFmtId="1" fontId="0" fillId="0" borderId="3" xfId="0" applyNumberFormat="1" applyFill="1" applyBorder="1" applyAlignment="1">
      <alignment horizontal="center"/>
    </xf>
    <xf numFmtId="4" fontId="0" fillId="0" borderId="3" xfId="0" applyNumberFormat="1" applyFill="1" applyBorder="1" applyAlignment="1">
      <alignment/>
    </xf>
    <xf numFmtId="0" fontId="1" fillId="6" borderId="54" xfId="0" applyFont="1" applyFill="1" applyBorder="1" applyAlignment="1">
      <alignment horizontal="center"/>
    </xf>
    <xf numFmtId="0" fontId="1" fillId="6" borderId="54" xfId="0" applyFont="1" applyFill="1" applyBorder="1" applyAlignment="1">
      <alignment horizontal="right"/>
    </xf>
    <xf numFmtId="3" fontId="1" fillId="6" borderId="54" xfId="0" applyNumberFormat="1" applyFont="1" applyFill="1" applyBorder="1" applyAlignment="1">
      <alignment horizontal="right"/>
    </xf>
    <xf numFmtId="0" fontId="0" fillId="6" borderId="9" xfId="0" applyFill="1" applyBorder="1" applyAlignment="1">
      <alignment/>
    </xf>
    <xf numFmtId="4" fontId="0" fillId="6" borderId="9" xfId="0" applyNumberFormat="1" applyFill="1" applyBorder="1" applyAlignment="1">
      <alignment/>
    </xf>
    <xf numFmtId="0" fontId="0" fillId="0" borderId="7" xfId="0" applyFill="1" applyBorder="1" applyAlignment="1">
      <alignment horizontal="left"/>
    </xf>
    <xf numFmtId="0" fontId="8" fillId="0" borderId="7" xfId="0" applyFont="1" applyFill="1" applyBorder="1" applyAlignment="1" applyProtection="1">
      <alignment/>
      <protection locked="0"/>
    </xf>
    <xf numFmtId="3" fontId="8" fillId="0" borderId="7" xfId="0" applyNumberFormat="1" applyFont="1" applyFill="1" applyBorder="1" applyAlignment="1" applyProtection="1">
      <alignment/>
      <protection locked="0"/>
    </xf>
    <xf numFmtId="1" fontId="8" fillId="0" borderId="7" xfId="0" applyNumberFormat="1" applyFont="1" applyFill="1" applyBorder="1" applyAlignment="1" applyProtection="1">
      <alignment/>
      <protection locked="0"/>
    </xf>
    <xf numFmtId="0" fontId="1" fillId="2" borderId="3" xfId="0" applyFont="1" applyFill="1" applyBorder="1" applyAlignment="1">
      <alignment wrapText="1"/>
    </xf>
    <xf numFmtId="0" fontId="0" fillId="2" borderId="3" xfId="0" applyFill="1" applyBorder="1" applyAlignment="1">
      <alignment wrapText="1"/>
    </xf>
    <xf numFmtId="3" fontId="0" fillId="2" borderId="3" xfId="0" applyNumberFormat="1" applyFill="1" applyBorder="1" applyAlignment="1">
      <alignment wrapText="1"/>
    </xf>
    <xf numFmtId="0" fontId="1" fillId="2" borderId="21" xfId="0" applyFont="1" applyFill="1" applyBorder="1" applyAlignment="1">
      <alignment wrapText="1"/>
    </xf>
    <xf numFmtId="0" fontId="1" fillId="2" borderId="21" xfId="0" applyFont="1" applyFill="1" applyBorder="1" applyAlignment="1">
      <alignment horizontal="center" wrapText="1"/>
    </xf>
    <xf numFmtId="3" fontId="1" fillId="2" borderId="21" xfId="0" applyNumberFormat="1" applyFont="1" applyFill="1" applyBorder="1" applyAlignment="1">
      <alignment horizontal="center" wrapText="1"/>
    </xf>
    <xf numFmtId="3" fontId="0" fillId="0" borderId="3" xfId="0" applyNumberFormat="1" applyFont="1" applyBorder="1" applyAlignment="1">
      <alignment wrapText="1"/>
    </xf>
    <xf numFmtId="2" fontId="8" fillId="3" borderId="0" xfId="0" applyNumberFormat="1" applyFont="1" applyFill="1" applyAlignment="1">
      <alignment/>
    </xf>
    <xf numFmtId="0" fontId="0" fillId="14" borderId="0" xfId="0" applyFill="1" applyAlignment="1">
      <alignment/>
    </xf>
    <xf numFmtId="0" fontId="0" fillId="3" borderId="0" xfId="0" applyFill="1" applyAlignment="1">
      <alignment/>
    </xf>
    <xf numFmtId="0" fontId="0" fillId="2" borderId="0" xfId="0" applyFill="1" applyAlignment="1">
      <alignment/>
    </xf>
    <xf numFmtId="0" fontId="0" fillId="15" borderId="0" xfId="0" applyFill="1" applyAlignment="1">
      <alignment/>
    </xf>
    <xf numFmtId="4" fontId="0" fillId="0" borderId="48" xfId="0" applyNumberFormat="1" applyFont="1" applyFill="1" applyBorder="1" applyAlignment="1">
      <alignment wrapText="1"/>
    </xf>
    <xf numFmtId="0" fontId="8" fillId="3" borderId="0" xfId="0" applyFont="1" applyFill="1" applyAlignment="1">
      <alignment/>
    </xf>
    <xf numFmtId="0" fontId="8" fillId="0" borderId="0" xfId="0" applyFont="1" applyFill="1" applyAlignment="1">
      <alignment/>
    </xf>
    <xf numFmtId="0" fontId="0" fillId="0" borderId="0" xfId="0" applyFont="1" applyFill="1" applyAlignment="1">
      <alignment/>
    </xf>
    <xf numFmtId="0" fontId="0" fillId="10" borderId="0" xfId="0" applyFill="1" applyAlignment="1">
      <alignment/>
    </xf>
    <xf numFmtId="0" fontId="0" fillId="16" borderId="0" xfId="0" applyFill="1" applyAlignment="1">
      <alignment/>
    </xf>
    <xf numFmtId="0" fontId="0" fillId="17" borderId="0" xfId="0" applyFill="1" applyAlignment="1">
      <alignment/>
    </xf>
    <xf numFmtId="0" fontId="0" fillId="9" borderId="0" xfId="0" applyFill="1" applyAlignment="1">
      <alignment/>
    </xf>
    <xf numFmtId="0" fontId="0" fillId="0" borderId="0" xfId="0" applyFill="1" applyAlignment="1">
      <alignment/>
    </xf>
    <xf numFmtId="3" fontId="3" fillId="14" borderId="0" xfId="0" applyNumberFormat="1" applyFont="1" applyFill="1" applyAlignment="1">
      <alignment/>
    </xf>
    <xf numFmtId="3" fontId="0" fillId="14" borderId="0" xfId="0" applyNumberFormat="1" applyFill="1" applyAlignment="1">
      <alignment/>
    </xf>
    <xf numFmtId="3" fontId="3" fillId="3" borderId="0" xfId="0" applyNumberFormat="1" applyFont="1" applyFill="1" applyAlignment="1">
      <alignment/>
    </xf>
    <xf numFmtId="3" fontId="0" fillId="3" borderId="0" xfId="0" applyNumberFormat="1" applyFill="1" applyAlignment="1">
      <alignment/>
    </xf>
    <xf numFmtId="3" fontId="3" fillId="6" borderId="0" xfId="0" applyNumberFormat="1" applyFont="1" applyFill="1" applyAlignment="1">
      <alignment/>
    </xf>
    <xf numFmtId="3" fontId="0" fillId="6" borderId="0" xfId="0" applyNumberFormat="1" applyFill="1" applyAlignment="1">
      <alignment/>
    </xf>
    <xf numFmtId="3" fontId="0" fillId="14" borderId="54" xfId="0" applyNumberFormat="1" applyFill="1" applyBorder="1" applyAlignment="1">
      <alignment/>
    </xf>
    <xf numFmtId="3" fontId="3" fillId="0" borderId="0" xfId="0" applyNumberFormat="1" applyFont="1" applyAlignment="1">
      <alignment/>
    </xf>
    <xf numFmtId="3" fontId="3" fillId="13" borderId="0" xfId="0" applyNumberFormat="1" applyFont="1" applyFill="1" applyAlignment="1">
      <alignment/>
    </xf>
    <xf numFmtId="3" fontId="3" fillId="18" borderId="0" xfId="0" applyNumberFormat="1" applyFont="1" applyFill="1" applyAlignment="1">
      <alignment/>
    </xf>
    <xf numFmtId="0" fontId="0" fillId="0" borderId="84" xfId="0" applyBorder="1" applyAlignment="1">
      <alignment/>
    </xf>
    <xf numFmtId="0" fontId="0" fillId="0" borderId="14" xfId="0" applyFont="1" applyBorder="1" applyAlignment="1">
      <alignment wrapText="1"/>
    </xf>
    <xf numFmtId="4" fontId="8" fillId="3" borderId="3" xfId="0" applyNumberFormat="1" applyFont="1" applyFill="1" applyBorder="1" applyAlignment="1">
      <alignment/>
    </xf>
    <xf numFmtId="4" fontId="0" fillId="3" borderId="3" xfId="0" applyNumberFormat="1" applyFill="1" applyBorder="1" applyAlignment="1">
      <alignment/>
    </xf>
    <xf numFmtId="38" fontId="0" fillId="0" borderId="3" xfId="0" applyNumberFormat="1" applyBorder="1" applyAlignment="1" quotePrefix="1">
      <alignment horizontal="center" vertical="center"/>
    </xf>
    <xf numFmtId="0" fontId="0" fillId="0" borderId="31" xfId="0" applyBorder="1" applyAlignment="1">
      <alignment vertical="center" wrapText="1"/>
    </xf>
    <xf numFmtId="0" fontId="16" fillId="0" borderId="3" xfId="0" applyFont="1" applyBorder="1" applyAlignment="1">
      <alignment wrapText="1"/>
    </xf>
    <xf numFmtId="0" fontId="1" fillId="2" borderId="21" xfId="0" applyFont="1" applyFill="1" applyBorder="1" applyAlignment="1">
      <alignment/>
    </xf>
    <xf numFmtId="0" fontId="1" fillId="2" borderId="21" xfId="0" applyFont="1" applyFill="1" applyBorder="1" applyAlignment="1">
      <alignment horizontal="center"/>
    </xf>
    <xf numFmtId="4" fontId="1" fillId="2" borderId="21" xfId="0" applyNumberFormat="1" applyFont="1" applyFill="1" applyBorder="1" applyAlignment="1">
      <alignment horizontal="center" wrapText="1"/>
    </xf>
    <xf numFmtId="0" fontId="0" fillId="2" borderId="85" xfId="0" applyFill="1" applyBorder="1" applyAlignment="1">
      <alignment wrapText="1"/>
    </xf>
    <xf numFmtId="0" fontId="1" fillId="2" borderId="3" xfId="0" applyFont="1" applyFill="1" applyBorder="1" applyAlignment="1">
      <alignment/>
    </xf>
    <xf numFmtId="0" fontId="1" fillId="2" borderId="6" xfId="0" applyFont="1" applyFill="1" applyBorder="1" applyAlignment="1">
      <alignment horizontal="center" vertical="center"/>
    </xf>
    <xf numFmtId="0" fontId="1" fillId="2" borderId="6" xfId="0" applyFont="1" applyFill="1" applyBorder="1" applyAlignment="1">
      <alignment horizontal="center" vertical="center" wrapText="1"/>
    </xf>
    <xf numFmtId="3" fontId="1" fillId="2" borderId="6" xfId="0" applyNumberFormat="1" applyFont="1" applyFill="1" applyBorder="1" applyAlignment="1">
      <alignment horizontal="center" vertical="center" wrapText="1"/>
    </xf>
    <xf numFmtId="4" fontId="1" fillId="2" borderId="6" xfId="0" applyNumberFormat="1" applyFont="1" applyFill="1" applyBorder="1" applyAlignment="1">
      <alignment horizontal="center" vertical="center" wrapText="1"/>
    </xf>
    <xf numFmtId="0" fontId="0" fillId="2" borderId="32" xfId="0" applyFill="1" applyBorder="1" applyAlignment="1">
      <alignment wrapText="1"/>
    </xf>
    <xf numFmtId="0" fontId="8" fillId="3" borderId="3" xfId="0" applyFont="1" applyFill="1" applyBorder="1" applyAlignment="1">
      <alignment/>
    </xf>
    <xf numFmtId="4" fontId="0" fillId="0" borderId="3" xfId="0" applyNumberFormat="1" applyFill="1" applyBorder="1" applyAlignment="1">
      <alignment/>
    </xf>
    <xf numFmtId="0" fontId="1" fillId="10" borderId="3" xfId="0" applyFont="1" applyFill="1" applyBorder="1" applyAlignment="1">
      <alignment/>
    </xf>
    <xf numFmtId="4" fontId="1" fillId="10" borderId="3" xfId="0" applyNumberFormat="1" applyFont="1" applyFill="1" applyBorder="1" applyAlignment="1">
      <alignment/>
    </xf>
    <xf numFmtId="38" fontId="1" fillId="10" borderId="3" xfId="0" applyNumberFormat="1" applyFont="1" applyFill="1" applyBorder="1" applyAlignment="1">
      <alignment/>
    </xf>
    <xf numFmtId="0" fontId="1" fillId="10" borderId="32" xfId="0" applyFont="1" applyFill="1" applyBorder="1" applyAlignment="1">
      <alignment wrapText="1"/>
    </xf>
    <xf numFmtId="3" fontId="0" fillId="2" borderId="3" xfId="0" applyNumberFormat="1" applyFill="1" applyBorder="1" applyAlignment="1">
      <alignment/>
    </xf>
    <xf numFmtId="0" fontId="1" fillId="10" borderId="3" xfId="0" applyFont="1" applyFill="1" applyBorder="1" applyAlignment="1">
      <alignment wrapText="1"/>
    </xf>
    <xf numFmtId="38" fontId="1" fillId="10" borderId="3" xfId="0" applyNumberFormat="1" applyFont="1" applyFill="1" applyBorder="1" applyAlignment="1">
      <alignment wrapText="1"/>
    </xf>
    <xf numFmtId="2" fontId="8" fillId="3" borderId="3" xfId="0" applyNumberFormat="1" applyFont="1" applyFill="1" applyBorder="1" applyAlignment="1">
      <alignment wrapText="1"/>
    </xf>
    <xf numFmtId="1" fontId="0" fillId="0" borderId="3" xfId="0" applyNumberFormat="1" applyBorder="1" applyAlignment="1">
      <alignment wrapText="1"/>
    </xf>
    <xf numFmtId="0" fontId="0" fillId="2" borderId="31" xfId="0" applyFill="1" applyBorder="1" applyAlignment="1">
      <alignment wrapText="1"/>
    </xf>
    <xf numFmtId="0" fontId="0" fillId="0" borderId="30" xfId="0" applyBorder="1" applyAlignment="1">
      <alignment wrapText="1"/>
    </xf>
    <xf numFmtId="0" fontId="0" fillId="0" borderId="7" xfId="0" applyFont="1" applyFill="1" applyBorder="1" applyAlignment="1">
      <alignment wrapText="1"/>
    </xf>
    <xf numFmtId="0" fontId="0" fillId="2" borderId="86" xfId="0" applyFill="1" applyBorder="1" applyAlignment="1">
      <alignment wrapText="1"/>
    </xf>
    <xf numFmtId="0" fontId="1" fillId="0" borderId="87" xfId="0" applyFont="1" applyBorder="1" applyAlignment="1">
      <alignment wrapText="1"/>
    </xf>
    <xf numFmtId="4" fontId="0" fillId="2" borderId="3" xfId="0" applyNumberFormat="1" applyFill="1" applyBorder="1" applyAlignment="1">
      <alignment/>
    </xf>
    <xf numFmtId="38" fontId="0" fillId="2" borderId="3" xfId="0" applyNumberFormat="1" applyFill="1" applyBorder="1" applyAlignment="1">
      <alignment/>
    </xf>
    <xf numFmtId="0" fontId="3" fillId="0" borderId="32" xfId="0" applyFont="1" applyBorder="1" applyAlignment="1">
      <alignment wrapText="1"/>
    </xf>
    <xf numFmtId="3" fontId="8" fillId="3" borderId="7" xfId="0" applyNumberFormat="1" applyFont="1" applyFill="1" applyBorder="1" applyAlignment="1">
      <alignment/>
    </xf>
    <xf numFmtId="0" fontId="56" fillId="0" borderId="0" xfId="0" applyFont="1" applyAlignment="1">
      <alignment horizontal="center"/>
    </xf>
    <xf numFmtId="0" fontId="0" fillId="0" borderId="88" xfId="0" applyBorder="1" applyAlignment="1">
      <alignment/>
    </xf>
    <xf numFmtId="0" fontId="0" fillId="0" borderId="21" xfId="0" applyBorder="1" applyAlignment="1">
      <alignment/>
    </xf>
    <xf numFmtId="0" fontId="28" fillId="10" borderId="0" xfId="0" applyFont="1" applyFill="1" applyAlignment="1">
      <alignment horizontal="center" vertical="center"/>
    </xf>
    <xf numFmtId="0" fontId="1" fillId="0" borderId="30" xfId="0" applyFont="1" applyFill="1" applyBorder="1" applyAlignment="1">
      <alignment horizontal="left" vertical="center"/>
    </xf>
    <xf numFmtId="0" fontId="0" fillId="0" borderId="88" xfId="0" applyBorder="1" applyAlignment="1">
      <alignment vertical="top"/>
    </xf>
    <xf numFmtId="0" fontId="1" fillId="0" borderId="88" xfId="0" applyFont="1" applyBorder="1" applyAlignment="1">
      <alignment vertical="top"/>
    </xf>
    <xf numFmtId="0" fontId="1" fillId="0" borderId="88" xfId="0" applyFont="1" applyFill="1" applyBorder="1" applyAlignment="1">
      <alignment vertical="top"/>
    </xf>
    <xf numFmtId="0" fontId="0" fillId="0" borderId="88" xfId="0" applyFill="1" applyBorder="1" applyAlignment="1">
      <alignment vertical="top"/>
    </xf>
    <xf numFmtId="0" fontId="0" fillId="0" borderId="88" xfId="0" applyFont="1" applyBorder="1" applyAlignment="1">
      <alignment vertical="top"/>
    </xf>
    <xf numFmtId="0" fontId="23" fillId="0" borderId="69" xfId="0" applyFont="1" applyBorder="1" applyAlignment="1">
      <alignment horizontal="center" vertical="center" wrapText="1"/>
    </xf>
    <xf numFmtId="0" fontId="23" fillId="0" borderId="70" xfId="0" applyFont="1" applyBorder="1" applyAlignment="1">
      <alignment horizontal="center" vertical="center" wrapText="1"/>
    </xf>
    <xf numFmtId="0" fontId="0" fillId="0" borderId="46" xfId="0" applyFill="1" applyBorder="1" applyAlignment="1">
      <alignment/>
    </xf>
    <xf numFmtId="38" fontId="0" fillId="0" borderId="89" xfId="0" applyNumberFormat="1" applyBorder="1" applyAlignment="1">
      <alignment/>
    </xf>
    <xf numFmtId="38" fontId="0" fillId="0" borderId="10" xfId="0" applyNumberFormat="1" applyBorder="1" applyAlignment="1">
      <alignment/>
    </xf>
    <xf numFmtId="3" fontId="0" fillId="0" borderId="45" xfId="0" applyNumberFormat="1" applyBorder="1" applyAlignment="1">
      <alignment/>
    </xf>
    <xf numFmtId="169" fontId="1" fillId="0" borderId="90" xfId="0" applyNumberFormat="1" applyFont="1" applyBorder="1" applyAlignment="1">
      <alignment/>
    </xf>
    <xf numFmtId="169" fontId="1" fillId="0" borderId="48" xfId="0" applyNumberFormat="1" applyFont="1" applyBorder="1" applyAlignment="1">
      <alignment/>
    </xf>
    <xf numFmtId="38" fontId="0" fillId="0" borderId="90" xfId="0" applyNumberFormat="1" applyBorder="1" applyAlignment="1">
      <alignment/>
    </xf>
    <xf numFmtId="3" fontId="0" fillId="3" borderId="28" xfId="0" applyNumberFormat="1" applyFont="1" applyFill="1" applyBorder="1" applyAlignment="1">
      <alignment wrapText="1"/>
    </xf>
    <xf numFmtId="38" fontId="0" fillId="0" borderId="46" xfId="0" applyNumberFormat="1" applyFont="1" applyFill="1" applyBorder="1" applyAlignment="1">
      <alignment wrapText="1"/>
    </xf>
    <xf numFmtId="4" fontId="63" fillId="3" borderId="3" xfId="0" applyNumberFormat="1" applyFont="1" applyFill="1" applyBorder="1" applyAlignment="1">
      <alignment wrapText="1"/>
    </xf>
    <xf numFmtId="0" fontId="4" fillId="0"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wrapText="1"/>
    </xf>
    <xf numFmtId="3" fontId="1" fillId="9" borderId="5"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4" fillId="0" borderId="0" xfId="0" applyFont="1" applyFill="1" applyBorder="1" applyAlignment="1">
      <alignment wrapText="1"/>
    </xf>
    <xf numFmtId="0" fontId="28" fillId="10" borderId="0" xfId="0" applyFont="1" applyFill="1" applyAlignment="1">
      <alignment horizontal="center" vertical="center" wrapText="1"/>
    </xf>
    <xf numFmtId="0" fontId="51" fillId="10" borderId="0" xfId="0" applyFont="1" applyFill="1" applyAlignment="1">
      <alignment horizontal="center"/>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28" fillId="0" borderId="0" xfId="0" applyFont="1" applyAlignment="1">
      <alignment/>
    </xf>
    <xf numFmtId="0" fontId="51" fillId="0" borderId="0" xfId="0" applyFont="1" applyAlignment="1">
      <alignment/>
    </xf>
    <xf numFmtId="0" fontId="0" fillId="0" borderId="0" xfId="0" applyAlignment="1">
      <alignment/>
    </xf>
    <xf numFmtId="0" fontId="27" fillId="0" borderId="0" xfId="0" applyFont="1" applyAlignment="1">
      <alignment wrapText="1"/>
    </xf>
    <xf numFmtId="0" fontId="41" fillId="0" borderId="0" xfId="0" applyFont="1" applyAlignment="1">
      <alignment wrapText="1"/>
    </xf>
    <xf numFmtId="0" fontId="23" fillId="0" borderId="0" xfId="0" applyFont="1" applyAlignment="1">
      <alignment wrapText="1"/>
    </xf>
    <xf numFmtId="0" fontId="0" fillId="0" borderId="0" xfId="0" applyAlignment="1">
      <alignment wrapText="1"/>
    </xf>
    <xf numFmtId="0" fontId="2" fillId="0" borderId="9" xfId="0" applyFont="1" applyFill="1" applyBorder="1" applyAlignment="1">
      <alignment vertical="center"/>
    </xf>
    <xf numFmtId="0" fontId="52" fillId="0" borderId="9" xfId="0" applyFont="1" applyBorder="1" applyAlignment="1">
      <alignment/>
    </xf>
    <xf numFmtId="0" fontId="0" fillId="0" borderId="33" xfId="0" applyFont="1" applyBorder="1" applyAlignment="1">
      <alignment vertical="center" wrapText="1"/>
    </xf>
    <xf numFmtId="0" fontId="0" fillId="0" borderId="0" xfId="0" applyAlignment="1">
      <alignment vertical="center" wrapText="1"/>
    </xf>
    <xf numFmtId="0" fontId="0" fillId="0" borderId="0" xfId="0" applyFont="1" applyFill="1" applyBorder="1" applyAlignment="1">
      <alignment vertical="center" wrapText="1"/>
    </xf>
    <xf numFmtId="0" fontId="0" fillId="0" borderId="33" xfId="0" applyFill="1" applyBorder="1" applyAlignment="1">
      <alignment vertical="center" wrapText="1"/>
    </xf>
    <xf numFmtId="0" fontId="0" fillId="0" borderId="9" xfId="0" applyBorder="1" applyAlignment="1">
      <alignment vertical="center" wrapText="1"/>
    </xf>
    <xf numFmtId="0" fontId="0" fillId="0" borderId="2" xfId="0" applyFont="1"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50" b="1" i="0" u="none" baseline="0">
                <a:latin typeface="Arial"/>
                <a:ea typeface="Arial"/>
                <a:cs typeface="Arial"/>
              </a:rPr>
              <a:t>Distribution of Buffer Cost</a:t>
            </a:r>
          </a:p>
        </c:rich>
      </c:tx>
      <c:layout>
        <c:manualLayout>
          <c:xMode val="factor"/>
          <c:yMode val="factor"/>
          <c:x val="0.23425"/>
          <c:y val="0.001"/>
        </c:manualLayout>
      </c:layout>
      <c:spPr>
        <a:noFill/>
        <a:ln>
          <a:noFill/>
        </a:ln>
      </c:spPr>
    </c:title>
    <c:plotArea>
      <c:layout>
        <c:manualLayout>
          <c:xMode val="edge"/>
          <c:yMode val="edge"/>
          <c:x val="0.153"/>
          <c:y val="0.1215"/>
          <c:w val="0.2495"/>
          <c:h val="0.3325"/>
        </c:manualLayout>
      </c:layout>
      <c:pieChart>
        <c:varyColors val="1"/>
        <c:ser>
          <c:idx val="0"/>
          <c:order val="0"/>
          <c:tx>
            <c:v>Buffer annual and recurring costs</c:v>
          </c:tx>
          <c:explosion val="0"/>
          <c:extLst>
            <c:ext xmlns:c14="http://schemas.microsoft.com/office/drawing/2007/8/2/chart" uri="{6F2FDCE9-48DA-4B69-8628-5D25D57E5C99}">
              <c14:invertSolidFillFmt>
                <c14:spPr>
                  <a:solidFill>
                    <a:srgbClr val="000000"/>
                  </a:solidFill>
                </c14:spPr>
              </c14:invertSolidFillFmt>
            </c:ext>
          </c:extLst>
          <c:dPt>
            <c:idx val="13"/>
          </c:dPt>
          <c:dLbls>
            <c:dLbl>
              <c:idx val="0"/>
              <c:delete val="1"/>
            </c:dLbl>
            <c:dLbl>
              <c:idx val="13"/>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5"/>
              <c:delete val="1"/>
            </c:dLbl>
            <c:dLbl>
              <c:idx val="16"/>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numFmt formatCode="0%" sourceLinked="0"/>
            <c:spPr>
              <a:noFill/>
              <a:ln>
                <a:noFill/>
              </a:ln>
            </c:spPr>
            <c:txPr>
              <a:bodyPr vert="horz" rot="0" anchor="ctr"/>
              <a:lstStyle/>
              <a:p>
                <a:pPr algn="ctr">
                  <a:defRPr lang="en-US" cap="none" sz="1400" b="0" i="0" u="none" baseline="0">
                    <a:latin typeface="Arial"/>
                    <a:ea typeface="Arial"/>
                    <a:cs typeface="Arial"/>
                  </a:defRPr>
                </a:pPr>
              </a:p>
            </c:txPr>
            <c:showLegendKey val="0"/>
            <c:showVal val="0"/>
            <c:showBubbleSize val="0"/>
            <c:showCatName val="0"/>
            <c:showSerName val="0"/>
            <c:showLeaderLines val="1"/>
            <c:showPercent val="1"/>
            <c:leaderLines>
              <c:spPr>
                <a:ln w="3175">
                  <a:solidFill/>
                </a:ln>
              </c:spPr>
            </c:leaderLines>
          </c:dLbls>
          <c:cat>
            <c:strRef>
              <c:f>('Buffer Builder'!$A$114:$A$125,'Buffer Builder'!$A$128:$A$142)</c:f>
              <c:strCache>
                <c:ptCount val="27"/>
                <c:pt idx="0">
                  <c:v>  Survey and Stake buffer area</c:v>
                </c:pt>
                <c:pt idx="1">
                  <c:v>  Site Preparation </c:v>
                </c:pt>
                <c:pt idx="2">
                  <c:v>  Tillage Costs (buffer estab. Only)</c:v>
                </c:pt>
                <c:pt idx="3">
                  <c:v>  Grass Filter strip installation</c:v>
                </c:pt>
                <c:pt idx="4">
                  <c:v>  Fertilizer (initial establishment of hay and grass buffers)</c:v>
                </c:pt>
                <c:pt idx="5">
                  <c:v>  Seed (hay and grass silage)</c:v>
                </c:pt>
                <c:pt idx="6">
                  <c:v>  Tree/shrub Seedling &amp; Planting</c:v>
                </c:pt>
                <c:pt idx="7">
                  <c:v>  Seedling/shrub protectors + installation</c:v>
                </c:pt>
                <c:pt idx="8">
                  <c:v>  Re-planting trees/shrubs</c:v>
                </c:pt>
                <c:pt idx="9">
                  <c:v>  Fencing + installation (incl. Gates)</c:v>
                </c:pt>
                <c:pt idx="10">
                  <c:v>  Install new livestock water access/drinking facilities</c:v>
                </c:pt>
                <c:pt idx="11">
                  <c:v>  Other Cost(s)</c:v>
                </c:pt>
                <c:pt idx="12">
                  <c:v>  Mowing (grass)</c:v>
                </c:pt>
                <c:pt idx="13">
                  <c:v>  Weed Control </c:v>
                </c:pt>
                <c:pt idx="14">
                  <c:v>  Seed (hay and grass silage)</c:v>
                </c:pt>
                <c:pt idx="15">
                  <c:v>  Tillage costs (ongoing)</c:v>
                </c:pt>
                <c:pt idx="16">
                  <c:v>  Fertilizer</c:v>
                </c:pt>
                <c:pt idx="17">
                  <c:v>  Fence Repair &amp; Maintenance</c:v>
                </c:pt>
                <c:pt idx="18">
                  <c:v>  Thinning (trees)</c:v>
                </c:pt>
                <c:pt idx="19">
                  <c:v>  First Pruning (trees)</c:v>
                </c:pt>
                <c:pt idx="20">
                  <c:v>  Second Pruning (trees)</c:v>
                </c:pt>
                <c:pt idx="21">
                  <c:v>  Harvest (hay, grass silage, timber)</c:v>
                </c:pt>
                <c:pt idx="22">
                  <c:v>  Hauling (hay, grass silage, timber)</c:v>
                </c:pt>
                <c:pt idx="23">
                  <c:v>  Foregone income from the buffer area (acres occupied by buffer x net income loss per acre)</c:v>
                </c:pt>
                <c:pt idx="24">
                  <c:v>  Foregone income from land made spatially unviable by buffer</c:v>
                </c:pt>
                <c:pt idx="25">
                  <c:v>  Feed cost increases due to buffer </c:v>
                </c:pt>
                <c:pt idx="26">
                  <c:v>  Other Cost(s)</c:v>
                </c:pt>
              </c:strCache>
            </c:strRef>
          </c:cat>
          <c:val>
            <c:numRef>
              <c:f>('Buffer Builder'!$D$114:$D$125,'Buffer Builder'!$D$128:$D$142)</c:f>
              <c:numCache>
                <c:ptCount val="27"/>
                <c:pt idx="0">
                  <c:v>0</c:v>
                </c:pt>
                <c:pt idx="1">
                  <c:v>0.19031308620153273</c:v>
                </c:pt>
                <c:pt idx="2">
                  <c:v>0</c:v>
                </c:pt>
                <c:pt idx="3">
                  <c:v>0</c:v>
                </c:pt>
                <c:pt idx="4">
                  <c:v>0</c:v>
                </c:pt>
                <c:pt idx="5">
                  <c:v>0</c:v>
                </c:pt>
                <c:pt idx="6">
                  <c:v>0.21270286104877184</c:v>
                </c:pt>
                <c:pt idx="7">
                  <c:v>0.12717392113231835</c:v>
                </c:pt>
                <c:pt idx="8">
                  <c:v>0.019665575170929348</c:v>
                </c:pt>
                <c:pt idx="9">
                  <c:v>0.04501378118518787</c:v>
                </c:pt>
                <c:pt idx="10">
                  <c:v>0</c:v>
                </c:pt>
                <c:pt idx="11">
                  <c:v>0</c:v>
                </c:pt>
                <c:pt idx="12">
                  <c:v>0</c:v>
                </c:pt>
                <c:pt idx="13">
                  <c:v>0.34886354877977505</c:v>
                </c:pt>
                <c:pt idx="14">
                  <c:v>0</c:v>
                </c:pt>
                <c:pt idx="15">
                  <c:v>0</c:v>
                </c:pt>
                <c:pt idx="16">
                  <c:v>0</c:v>
                </c:pt>
                <c:pt idx="17">
                  <c:v>0.056267226481484835</c:v>
                </c:pt>
                <c:pt idx="18">
                  <c:v>0</c:v>
                </c:pt>
                <c:pt idx="19">
                  <c:v>0</c:v>
                </c:pt>
                <c:pt idx="20">
                  <c:v>0</c:v>
                </c:pt>
                <c:pt idx="21">
                  <c:v>0</c:v>
                </c:pt>
                <c:pt idx="22">
                  <c:v>0</c:v>
                </c:pt>
                <c:pt idx="23">
                  <c:v>0</c:v>
                </c:pt>
                <c:pt idx="24">
                  <c:v>0</c:v>
                </c:pt>
                <c:pt idx="25">
                  <c:v>0</c:v>
                </c:pt>
                <c:pt idx="26">
                  <c:v>0</c:v>
                </c:pt>
              </c:numCache>
            </c:numRef>
          </c:val>
        </c:ser>
        <c:firstSliceAng val="30"/>
      </c:pieChart>
      <c:spPr>
        <a:noFill/>
        <a:ln>
          <a:noFill/>
        </a:ln>
      </c:spPr>
    </c:plotArea>
    <c:legend>
      <c:legendPos val="b"/>
      <c:layout>
        <c:manualLayout>
          <c:xMode val="edge"/>
          <c:yMode val="edge"/>
          <c:x val="0"/>
          <c:y val="0.61725"/>
          <c:w val="0.987"/>
          <c:h val="0.38275"/>
        </c:manualLayout>
      </c:layout>
      <c:overlay val="0"/>
      <c:spPr>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2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of Buffer Income</a:t>
            </a:r>
          </a:p>
        </c:rich>
      </c:tx>
      <c:layout/>
      <c:spPr>
        <a:noFill/>
        <a:ln>
          <a:noFill/>
        </a:ln>
      </c:spPr>
    </c:title>
    <c:plotArea>
      <c:layout>
        <c:manualLayout>
          <c:xMode val="edge"/>
          <c:yMode val="edge"/>
          <c:x val="0.335"/>
          <c:y val="0.15125"/>
          <c:w val="0.30025"/>
          <c:h val="0.55325"/>
        </c:manualLayout>
      </c:layout>
      <c:pieChart>
        <c:varyColors val="1"/>
        <c:ser>
          <c:idx val="0"/>
          <c:order val="0"/>
          <c:tx>
            <c:v>Buffer Revenue</c:v>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150" b="0" i="0" u="none" baseline="0">
                    <a:latin typeface="Arial"/>
                    <a:ea typeface="Arial"/>
                    <a:cs typeface="Arial"/>
                  </a:defRPr>
                </a:pPr>
              </a:p>
            </c:txPr>
            <c:showLegendKey val="0"/>
            <c:showVal val="0"/>
            <c:showBubbleSize val="0"/>
            <c:showCatName val="0"/>
            <c:showSerName val="0"/>
            <c:showLeaderLines val="1"/>
            <c:showPercent val="1"/>
          </c:dLbls>
          <c:cat>
            <c:strRef>
              <c:f>'Buffer Builder'!$A$100:$A$109</c:f>
              <c:strCache>
                <c:ptCount val="10"/>
                <c:pt idx="0">
                  <c:v>  Installation Cost Share Payment</c:v>
                </c:pt>
                <c:pt idx="1">
                  <c:v>  Maintenance Cost Share Payment</c:v>
                </c:pt>
                <c:pt idx="2">
                  <c:v>  Land Rental Cost Share Payment</c:v>
                </c:pt>
                <c:pt idx="3">
                  <c:v>  Sign-Up or other one-time bonus</c:v>
                </c:pt>
                <c:pt idx="4">
                  <c:v>  Hay income</c:v>
                </c:pt>
                <c:pt idx="5">
                  <c:v>  Grass silage income</c:v>
                </c:pt>
                <c:pt idx="6">
                  <c:v>  Timber thinning income </c:v>
                </c:pt>
                <c:pt idx="7">
                  <c:v>  Timber harvest income (stumpage)</c:v>
                </c:pt>
                <c:pt idx="8">
                  <c:v>  Other Income #1</c:v>
                </c:pt>
                <c:pt idx="9">
                  <c:v>  Other Income #2</c:v>
                </c:pt>
              </c:strCache>
            </c:strRef>
          </c:cat>
          <c:val>
            <c:numRef>
              <c:f>'Buffer Builder'!$D$100:$D$109</c:f>
              <c:numCache>
                <c:ptCount val="10"/>
                <c:pt idx="0">
                  <c:v>0</c:v>
                </c:pt>
                <c:pt idx="1">
                  <c:v>0</c:v>
                </c:pt>
                <c:pt idx="2">
                  <c:v>0</c:v>
                </c:pt>
                <c:pt idx="3">
                  <c:v>0</c:v>
                </c:pt>
                <c:pt idx="4">
                  <c:v>0</c:v>
                </c:pt>
                <c:pt idx="5">
                  <c:v>0</c:v>
                </c:pt>
                <c:pt idx="6">
                  <c:v>0</c:v>
                </c:pt>
                <c:pt idx="7">
                  <c:v>0</c:v>
                </c:pt>
                <c:pt idx="8">
                  <c:v>0</c:v>
                </c:pt>
                <c:pt idx="9">
                  <c:v>0</c:v>
                </c:pt>
              </c:numCache>
            </c:numRef>
          </c:val>
        </c:ser>
      </c:pieChart>
      <c:spPr>
        <a:noFill/>
        <a:ln>
          <a:noFill/>
        </a:ln>
      </c:spPr>
    </c:plotArea>
    <c:legend>
      <c:legendPos val="r"/>
      <c:layout>
        <c:manualLayout>
          <c:xMode val="edge"/>
          <c:yMode val="edge"/>
          <c:x val="0.00125"/>
          <c:y val="0.7667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12</xdr:row>
      <xdr:rowOff>161925</xdr:rowOff>
    </xdr:from>
    <xdr:to>
      <xdr:col>0</xdr:col>
      <xdr:colOff>7105650</xdr:colOff>
      <xdr:row>43</xdr:row>
      <xdr:rowOff>0</xdr:rowOff>
    </xdr:to>
    <xdr:pic>
      <xdr:nvPicPr>
        <xdr:cNvPr id="1" name="Picture 5"/>
        <xdr:cNvPicPr preferRelativeResize="1">
          <a:picLocks noChangeAspect="1"/>
        </xdr:cNvPicPr>
      </xdr:nvPicPr>
      <xdr:blipFill>
        <a:blip r:embed="rId1"/>
        <a:stretch>
          <a:fillRect/>
        </a:stretch>
      </xdr:blipFill>
      <xdr:spPr>
        <a:xfrm>
          <a:off x="47625" y="3257550"/>
          <a:ext cx="7058025" cy="4762500"/>
        </a:xfrm>
        <a:prstGeom prst="rect">
          <a:avLst/>
        </a:prstGeom>
        <a:noFill/>
        <a:ln w="22225" cmpd="sng">
          <a:solidFill>
            <a:srgbClr val="9933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9</xdr:row>
      <xdr:rowOff>266700</xdr:rowOff>
    </xdr:from>
    <xdr:to>
      <xdr:col>4</xdr:col>
      <xdr:colOff>561975</xdr:colOff>
      <xdr:row>9</xdr:row>
      <xdr:rowOff>266700</xdr:rowOff>
    </xdr:to>
    <xdr:sp>
      <xdr:nvSpPr>
        <xdr:cNvPr id="1" name="Line 1"/>
        <xdr:cNvSpPr>
          <a:spLocks/>
        </xdr:cNvSpPr>
      </xdr:nvSpPr>
      <xdr:spPr>
        <a:xfrm>
          <a:off x="123825" y="2990850"/>
          <a:ext cx="6305550" cy="0"/>
        </a:xfrm>
        <a:prstGeom prst="line">
          <a:avLst/>
        </a:prstGeom>
        <a:noFill/>
        <a:ln w="444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28</xdr:col>
      <xdr:colOff>238125</xdr:colOff>
      <xdr:row>35</xdr:row>
      <xdr:rowOff>9525</xdr:rowOff>
    </xdr:to>
    <xdr:graphicFrame>
      <xdr:nvGraphicFramePr>
        <xdr:cNvPr id="2" name="Chart 9"/>
        <xdr:cNvGraphicFramePr/>
      </xdr:nvGraphicFramePr>
      <xdr:xfrm>
        <a:off x="12563475" y="0"/>
        <a:ext cx="12430125" cy="8620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21</xdr:row>
      <xdr:rowOff>0</xdr:rowOff>
    </xdr:from>
    <xdr:to>
      <xdr:col>5</xdr:col>
      <xdr:colOff>333375</xdr:colOff>
      <xdr:row>42</xdr:row>
      <xdr:rowOff>104775</xdr:rowOff>
    </xdr:to>
    <xdr:graphicFrame>
      <xdr:nvGraphicFramePr>
        <xdr:cNvPr id="3" name="Chart 11"/>
        <xdr:cNvGraphicFramePr/>
      </xdr:nvGraphicFramePr>
      <xdr:xfrm>
        <a:off x="0" y="5924550"/>
        <a:ext cx="7191375" cy="3924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18</xdr:row>
      <xdr:rowOff>133350</xdr:rowOff>
    </xdr:from>
    <xdr:to>
      <xdr:col>0</xdr:col>
      <xdr:colOff>1200150</xdr:colOff>
      <xdr:row>23</xdr:row>
      <xdr:rowOff>28575</xdr:rowOff>
    </xdr:to>
    <xdr:sp>
      <xdr:nvSpPr>
        <xdr:cNvPr id="1" name="AutoShape 17"/>
        <xdr:cNvSpPr>
          <a:spLocks/>
        </xdr:cNvSpPr>
      </xdr:nvSpPr>
      <xdr:spPr>
        <a:xfrm>
          <a:off x="238125" y="4343400"/>
          <a:ext cx="962025" cy="1038225"/>
        </a:xfrm>
        <a:prstGeom prst="flowChartProcess">
          <a:avLst/>
        </a:prstGeom>
        <a:solidFill>
          <a:srgbClr val="3399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100 Cow Herd</a:t>
          </a:r>
        </a:p>
      </xdr:txBody>
    </xdr:sp>
    <xdr:clientData/>
  </xdr:twoCellAnchor>
  <xdr:twoCellAnchor>
    <xdr:from>
      <xdr:col>0</xdr:col>
      <xdr:colOff>1533525</xdr:colOff>
      <xdr:row>19</xdr:row>
      <xdr:rowOff>47625</xdr:rowOff>
    </xdr:from>
    <xdr:to>
      <xdr:col>0</xdr:col>
      <xdr:colOff>2447925</xdr:colOff>
      <xdr:row>22</xdr:row>
      <xdr:rowOff>190500</xdr:rowOff>
    </xdr:to>
    <xdr:sp>
      <xdr:nvSpPr>
        <xdr:cNvPr id="2" name="AutoShape 19"/>
        <xdr:cNvSpPr>
          <a:spLocks/>
        </xdr:cNvSpPr>
      </xdr:nvSpPr>
      <xdr:spPr>
        <a:xfrm>
          <a:off x="1533525" y="4486275"/>
          <a:ext cx="914400" cy="828675"/>
        </a:xfrm>
        <a:prstGeom prst="flowChartInputOutput">
          <a:avLst/>
        </a:prstGeom>
        <a:solidFill>
          <a:srgbClr val="00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90 Calves </a:t>
          </a:r>
          <a:r>
            <a:rPr lang="en-US" cap="none" sz="800" b="1" i="0" u="none" baseline="0">
              <a:latin typeface="Arial"/>
              <a:ea typeface="Arial"/>
              <a:cs typeface="Arial"/>
            </a:rPr>
            <a:t>(90% calf crop)</a:t>
          </a:r>
        </a:p>
      </xdr:txBody>
    </xdr:sp>
    <xdr:clientData/>
  </xdr:twoCellAnchor>
  <xdr:twoCellAnchor>
    <xdr:from>
      <xdr:col>0</xdr:col>
      <xdr:colOff>3200400</xdr:colOff>
      <xdr:row>16</xdr:row>
      <xdr:rowOff>57150</xdr:rowOff>
    </xdr:from>
    <xdr:to>
      <xdr:col>1</xdr:col>
      <xdr:colOff>600075</xdr:colOff>
      <xdr:row>19</xdr:row>
      <xdr:rowOff>219075</xdr:rowOff>
    </xdr:to>
    <xdr:sp>
      <xdr:nvSpPr>
        <xdr:cNvPr id="3" name="AutoShape 20"/>
        <xdr:cNvSpPr>
          <a:spLocks/>
        </xdr:cNvSpPr>
      </xdr:nvSpPr>
      <xdr:spPr>
        <a:xfrm>
          <a:off x="3200400" y="3810000"/>
          <a:ext cx="1285875" cy="847725"/>
        </a:xfrm>
        <a:prstGeom prst="flowChartDecision">
          <a:avLst/>
        </a:prstGeom>
        <a:solidFill>
          <a:srgbClr val="FF505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45 Steer (50%)</a:t>
          </a:r>
        </a:p>
      </xdr:txBody>
    </xdr:sp>
    <xdr:clientData/>
  </xdr:twoCellAnchor>
  <xdr:twoCellAnchor>
    <xdr:from>
      <xdr:col>2</xdr:col>
      <xdr:colOff>257175</xdr:colOff>
      <xdr:row>18</xdr:row>
      <xdr:rowOff>133350</xdr:rowOff>
    </xdr:from>
    <xdr:to>
      <xdr:col>3</xdr:col>
      <xdr:colOff>704850</xdr:colOff>
      <xdr:row>22</xdr:row>
      <xdr:rowOff>152400</xdr:rowOff>
    </xdr:to>
    <xdr:sp>
      <xdr:nvSpPr>
        <xdr:cNvPr id="4" name="AutoShape 24"/>
        <xdr:cNvSpPr>
          <a:spLocks/>
        </xdr:cNvSpPr>
      </xdr:nvSpPr>
      <xdr:spPr>
        <a:xfrm>
          <a:off x="5057775" y="4343400"/>
          <a:ext cx="1266825" cy="933450"/>
        </a:xfrm>
        <a:prstGeom prst="flowChartPreparation">
          <a:avLst/>
        </a:prstGeom>
        <a:solidFill>
          <a:srgbClr val="00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23 Initial replacement heifers (52%)</a:t>
          </a:r>
        </a:p>
      </xdr:txBody>
    </xdr:sp>
    <xdr:clientData/>
  </xdr:twoCellAnchor>
  <xdr:twoCellAnchor>
    <xdr:from>
      <xdr:col>3</xdr:col>
      <xdr:colOff>1219200</xdr:colOff>
      <xdr:row>21</xdr:row>
      <xdr:rowOff>190500</xdr:rowOff>
    </xdr:from>
    <xdr:to>
      <xdr:col>3</xdr:col>
      <xdr:colOff>2762250</xdr:colOff>
      <xdr:row>26</xdr:row>
      <xdr:rowOff>114300</xdr:rowOff>
    </xdr:to>
    <xdr:sp>
      <xdr:nvSpPr>
        <xdr:cNvPr id="5" name="AutoShape 27"/>
        <xdr:cNvSpPr>
          <a:spLocks/>
        </xdr:cNvSpPr>
      </xdr:nvSpPr>
      <xdr:spPr>
        <a:xfrm>
          <a:off x="6838950" y="5086350"/>
          <a:ext cx="1543050" cy="1066800"/>
        </a:xfrm>
        <a:prstGeom prst="flowChartDecision">
          <a:avLst/>
        </a:prstGeom>
        <a:solidFill>
          <a:srgbClr val="FF5050"/>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4 cull replacement heifers (17%)</a:t>
          </a:r>
        </a:p>
      </xdr:txBody>
    </xdr:sp>
    <xdr:clientData/>
  </xdr:twoCellAnchor>
  <xdr:twoCellAnchor>
    <xdr:from>
      <xdr:col>0</xdr:col>
      <xdr:colOff>1200150</xdr:colOff>
      <xdr:row>20</xdr:row>
      <xdr:rowOff>200025</xdr:rowOff>
    </xdr:from>
    <xdr:to>
      <xdr:col>0</xdr:col>
      <xdr:colOff>1628775</xdr:colOff>
      <xdr:row>21</xdr:row>
      <xdr:rowOff>9525</xdr:rowOff>
    </xdr:to>
    <xdr:sp>
      <xdr:nvSpPr>
        <xdr:cNvPr id="6" name="AutoShape 28"/>
        <xdr:cNvSpPr>
          <a:spLocks/>
        </xdr:cNvSpPr>
      </xdr:nvSpPr>
      <xdr:spPr>
        <a:xfrm>
          <a:off x="1200150" y="4867275"/>
          <a:ext cx="428625" cy="381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2352675</xdr:colOff>
      <xdr:row>18</xdr:row>
      <xdr:rowOff>28575</xdr:rowOff>
    </xdr:from>
    <xdr:to>
      <xdr:col>0</xdr:col>
      <xdr:colOff>3200400</xdr:colOff>
      <xdr:row>21</xdr:row>
      <xdr:rowOff>9525</xdr:rowOff>
    </xdr:to>
    <xdr:sp>
      <xdr:nvSpPr>
        <xdr:cNvPr id="7" name="AutoShape 29"/>
        <xdr:cNvSpPr>
          <a:spLocks/>
        </xdr:cNvSpPr>
      </xdr:nvSpPr>
      <xdr:spPr>
        <a:xfrm flipV="1">
          <a:off x="2352675" y="4238625"/>
          <a:ext cx="847725" cy="6667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2352675</xdr:colOff>
      <xdr:row>21</xdr:row>
      <xdr:rowOff>9525</xdr:rowOff>
    </xdr:from>
    <xdr:to>
      <xdr:col>0</xdr:col>
      <xdr:colOff>2838450</xdr:colOff>
      <xdr:row>23</xdr:row>
      <xdr:rowOff>47625</xdr:rowOff>
    </xdr:to>
    <xdr:sp>
      <xdr:nvSpPr>
        <xdr:cNvPr id="8" name="AutoShape 30"/>
        <xdr:cNvSpPr>
          <a:spLocks/>
        </xdr:cNvSpPr>
      </xdr:nvSpPr>
      <xdr:spPr>
        <a:xfrm>
          <a:off x="2352675" y="4905375"/>
          <a:ext cx="485775" cy="4953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20</xdr:row>
      <xdr:rowOff>142875</xdr:rowOff>
    </xdr:from>
    <xdr:to>
      <xdr:col>2</xdr:col>
      <xdr:colOff>257175</xdr:colOff>
      <xdr:row>22</xdr:row>
      <xdr:rowOff>161925</xdr:rowOff>
    </xdr:to>
    <xdr:sp>
      <xdr:nvSpPr>
        <xdr:cNvPr id="9" name="AutoShape 31"/>
        <xdr:cNvSpPr>
          <a:spLocks/>
        </xdr:cNvSpPr>
      </xdr:nvSpPr>
      <xdr:spPr>
        <a:xfrm flipV="1">
          <a:off x="4667250" y="4810125"/>
          <a:ext cx="390525" cy="4762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22</xdr:row>
      <xdr:rowOff>161925</xdr:rowOff>
    </xdr:from>
    <xdr:to>
      <xdr:col>2</xdr:col>
      <xdr:colOff>266700</xdr:colOff>
      <xdr:row>26</xdr:row>
      <xdr:rowOff>28575</xdr:rowOff>
    </xdr:to>
    <xdr:sp>
      <xdr:nvSpPr>
        <xdr:cNvPr id="10" name="AutoShape 32"/>
        <xdr:cNvSpPr>
          <a:spLocks/>
        </xdr:cNvSpPr>
      </xdr:nvSpPr>
      <xdr:spPr>
        <a:xfrm>
          <a:off x="4667250" y="5286375"/>
          <a:ext cx="400050" cy="7810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18</xdr:row>
      <xdr:rowOff>161925</xdr:rowOff>
    </xdr:from>
    <xdr:to>
      <xdr:col>3</xdr:col>
      <xdr:colOff>1323975</xdr:colOff>
      <xdr:row>20</xdr:row>
      <xdr:rowOff>142875</xdr:rowOff>
    </xdr:to>
    <xdr:sp>
      <xdr:nvSpPr>
        <xdr:cNvPr id="11" name="AutoShape 33"/>
        <xdr:cNvSpPr>
          <a:spLocks/>
        </xdr:cNvSpPr>
      </xdr:nvSpPr>
      <xdr:spPr>
        <a:xfrm flipV="1">
          <a:off x="6324600" y="4371975"/>
          <a:ext cx="619125" cy="4381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xdr:row>
      <xdr:rowOff>142875</xdr:rowOff>
    </xdr:from>
    <xdr:to>
      <xdr:col>3</xdr:col>
      <xdr:colOff>1219200</xdr:colOff>
      <xdr:row>24</xdr:row>
      <xdr:rowOff>38100</xdr:rowOff>
    </xdr:to>
    <xdr:sp>
      <xdr:nvSpPr>
        <xdr:cNvPr id="12" name="AutoShape 34"/>
        <xdr:cNvSpPr>
          <a:spLocks/>
        </xdr:cNvSpPr>
      </xdr:nvSpPr>
      <xdr:spPr>
        <a:xfrm>
          <a:off x="6324600" y="4810125"/>
          <a:ext cx="514350" cy="8096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1323975</xdr:colOff>
      <xdr:row>16</xdr:row>
      <xdr:rowOff>114300</xdr:rowOff>
    </xdr:from>
    <xdr:to>
      <xdr:col>3</xdr:col>
      <xdr:colOff>2619375</xdr:colOff>
      <xdr:row>20</xdr:row>
      <xdr:rowOff>209550</xdr:rowOff>
    </xdr:to>
    <xdr:sp>
      <xdr:nvSpPr>
        <xdr:cNvPr id="13" name="AutoShape 37"/>
        <xdr:cNvSpPr>
          <a:spLocks/>
        </xdr:cNvSpPr>
      </xdr:nvSpPr>
      <xdr:spPr>
        <a:xfrm>
          <a:off x="6943725" y="3867150"/>
          <a:ext cx="1295400" cy="1009650"/>
        </a:xfrm>
        <a:prstGeom prst="hexagon">
          <a:avLst/>
        </a:prstGeom>
        <a:solidFill>
          <a:srgbClr val="00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19 Final Replacement Heifers</a:t>
          </a:r>
        </a:p>
      </xdr:txBody>
    </xdr:sp>
    <xdr:clientData/>
  </xdr:twoCellAnchor>
  <xdr:twoCellAnchor>
    <xdr:from>
      <xdr:col>2</xdr:col>
      <xdr:colOff>266700</xdr:colOff>
      <xdr:row>24</xdr:row>
      <xdr:rowOff>0</xdr:rowOff>
    </xdr:from>
    <xdr:to>
      <xdr:col>3</xdr:col>
      <xdr:colOff>990600</xdr:colOff>
      <xdr:row>28</xdr:row>
      <xdr:rowOff>47625</xdr:rowOff>
    </xdr:to>
    <xdr:sp>
      <xdr:nvSpPr>
        <xdr:cNvPr id="14" name="AutoShape 39"/>
        <xdr:cNvSpPr>
          <a:spLocks/>
        </xdr:cNvSpPr>
      </xdr:nvSpPr>
      <xdr:spPr>
        <a:xfrm>
          <a:off x="5067300" y="5581650"/>
          <a:ext cx="1543050" cy="962025"/>
        </a:xfrm>
        <a:prstGeom prst="flowChartDecision">
          <a:avLst/>
        </a:prstGeom>
        <a:solidFill>
          <a:srgbClr val="FF505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22 cull replacement heifers</a:t>
          </a:r>
        </a:p>
      </xdr:txBody>
    </xdr:sp>
    <xdr:clientData/>
  </xdr:twoCellAnchor>
  <xdr:twoCellAnchor>
    <xdr:from>
      <xdr:col>0</xdr:col>
      <xdr:colOff>2686050</xdr:colOff>
      <xdr:row>21</xdr:row>
      <xdr:rowOff>9525</xdr:rowOff>
    </xdr:from>
    <xdr:to>
      <xdr:col>1</xdr:col>
      <xdr:colOff>781050</xdr:colOff>
      <xdr:row>24</xdr:row>
      <xdr:rowOff>85725</xdr:rowOff>
    </xdr:to>
    <xdr:sp>
      <xdr:nvSpPr>
        <xdr:cNvPr id="15" name="AutoShape 40"/>
        <xdr:cNvSpPr>
          <a:spLocks/>
        </xdr:cNvSpPr>
      </xdr:nvSpPr>
      <xdr:spPr>
        <a:xfrm>
          <a:off x="2686050" y="4905375"/>
          <a:ext cx="1981200" cy="762000"/>
        </a:xfrm>
        <a:prstGeom prst="hexagon">
          <a:avLst/>
        </a:prstGeom>
        <a:solidFill>
          <a:srgbClr val="00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45 Heifers (50%)</a:t>
          </a:r>
        </a:p>
      </xdr:txBody>
    </xdr:sp>
    <xdr:clientData/>
  </xdr:twoCellAnchor>
  <xdr:twoCellAnchor>
    <xdr:from>
      <xdr:col>3</xdr:col>
      <xdr:colOff>2619375</xdr:colOff>
      <xdr:row>18</xdr:row>
      <xdr:rowOff>161925</xdr:rowOff>
    </xdr:from>
    <xdr:to>
      <xdr:col>3</xdr:col>
      <xdr:colOff>2895600</xdr:colOff>
      <xdr:row>18</xdr:row>
      <xdr:rowOff>161925</xdr:rowOff>
    </xdr:to>
    <xdr:sp>
      <xdr:nvSpPr>
        <xdr:cNvPr id="16" name="AutoShape 41"/>
        <xdr:cNvSpPr>
          <a:spLocks/>
        </xdr:cNvSpPr>
      </xdr:nvSpPr>
      <xdr:spPr>
        <a:xfrm>
          <a:off x="8239125" y="4371975"/>
          <a:ext cx="276225" cy="0"/>
        </a:xfrm>
        <a:prstGeom prst="straightConnector1">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2905125</xdr:colOff>
      <xdr:row>18</xdr:row>
      <xdr:rowOff>152400</xdr:rowOff>
    </xdr:from>
    <xdr:to>
      <xdr:col>3</xdr:col>
      <xdr:colOff>2914650</xdr:colOff>
      <xdr:row>29</xdr:row>
      <xdr:rowOff>142875</xdr:rowOff>
    </xdr:to>
    <xdr:sp>
      <xdr:nvSpPr>
        <xdr:cNvPr id="17" name="AutoShape 42"/>
        <xdr:cNvSpPr>
          <a:spLocks/>
        </xdr:cNvSpPr>
      </xdr:nvSpPr>
      <xdr:spPr>
        <a:xfrm>
          <a:off x="8524875" y="4362450"/>
          <a:ext cx="9525" cy="2505075"/>
        </a:xfrm>
        <a:prstGeom prst="straightConnector1">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29</xdr:row>
      <xdr:rowOff>133350</xdr:rowOff>
    </xdr:from>
    <xdr:to>
      <xdr:col>3</xdr:col>
      <xdr:colOff>2914650</xdr:colOff>
      <xdr:row>29</xdr:row>
      <xdr:rowOff>161925</xdr:rowOff>
    </xdr:to>
    <xdr:sp>
      <xdr:nvSpPr>
        <xdr:cNvPr id="18" name="AutoShape 43"/>
        <xdr:cNvSpPr>
          <a:spLocks/>
        </xdr:cNvSpPr>
      </xdr:nvSpPr>
      <xdr:spPr>
        <a:xfrm flipH="1">
          <a:off x="723900" y="6858000"/>
          <a:ext cx="7810500" cy="28575"/>
        </a:xfrm>
        <a:prstGeom prst="straightConnector1">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23</xdr:row>
      <xdr:rowOff>28575</xdr:rowOff>
    </xdr:from>
    <xdr:to>
      <xdr:col>0</xdr:col>
      <xdr:colOff>742950</xdr:colOff>
      <xdr:row>29</xdr:row>
      <xdr:rowOff>161925</xdr:rowOff>
    </xdr:to>
    <xdr:sp>
      <xdr:nvSpPr>
        <xdr:cNvPr id="19" name="AutoShape 44"/>
        <xdr:cNvSpPr>
          <a:spLocks/>
        </xdr:cNvSpPr>
      </xdr:nvSpPr>
      <xdr:spPr>
        <a:xfrm flipH="1" flipV="1">
          <a:off x="723900" y="5381625"/>
          <a:ext cx="19050" cy="1504950"/>
        </a:xfrm>
        <a:prstGeom prst="straightConnector1">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1095375</xdr:colOff>
      <xdr:row>24</xdr:row>
      <xdr:rowOff>171450</xdr:rowOff>
    </xdr:from>
    <xdr:to>
      <xdr:col>0</xdr:col>
      <xdr:colOff>2171700</xdr:colOff>
      <xdr:row>28</xdr:row>
      <xdr:rowOff>200025</xdr:rowOff>
    </xdr:to>
    <xdr:sp>
      <xdr:nvSpPr>
        <xdr:cNvPr id="20" name="AutoShape 45"/>
        <xdr:cNvSpPr>
          <a:spLocks/>
        </xdr:cNvSpPr>
      </xdr:nvSpPr>
      <xdr:spPr>
        <a:xfrm>
          <a:off x="1095375" y="5753100"/>
          <a:ext cx="1076325" cy="942975"/>
        </a:xfrm>
        <a:prstGeom prst="flowChartPunchedCard">
          <a:avLst/>
        </a:prstGeom>
        <a:solidFill>
          <a:srgbClr val="FF5050"/>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17 = Cull (17%)
2 = Death (2%)
______
19 Cows removed from herd</a:t>
          </a:r>
        </a:p>
      </xdr:txBody>
    </xdr:sp>
    <xdr:clientData/>
  </xdr:twoCellAnchor>
  <xdr:twoCellAnchor>
    <xdr:from>
      <xdr:col>0</xdr:col>
      <xdr:colOff>1200150</xdr:colOff>
      <xdr:row>20</xdr:row>
      <xdr:rowOff>200025</xdr:rowOff>
    </xdr:from>
    <xdr:to>
      <xdr:col>0</xdr:col>
      <xdr:colOff>1638300</xdr:colOff>
      <xdr:row>24</xdr:row>
      <xdr:rowOff>171450</xdr:rowOff>
    </xdr:to>
    <xdr:sp>
      <xdr:nvSpPr>
        <xdr:cNvPr id="21" name="AutoShape 46"/>
        <xdr:cNvSpPr>
          <a:spLocks/>
        </xdr:cNvSpPr>
      </xdr:nvSpPr>
      <xdr:spPr>
        <a:xfrm>
          <a:off x="1200150" y="4867275"/>
          <a:ext cx="438150" cy="8858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56</xdr:row>
      <xdr:rowOff>152400</xdr:rowOff>
    </xdr:from>
    <xdr:to>
      <xdr:col>6</xdr:col>
      <xdr:colOff>19050</xdr:colOff>
      <xdr:row>56</xdr:row>
      <xdr:rowOff>152400</xdr:rowOff>
    </xdr:to>
    <xdr:sp>
      <xdr:nvSpPr>
        <xdr:cNvPr id="1" name="Line 1"/>
        <xdr:cNvSpPr>
          <a:spLocks/>
        </xdr:cNvSpPr>
      </xdr:nvSpPr>
      <xdr:spPr>
        <a:xfrm>
          <a:off x="47625" y="14897100"/>
          <a:ext cx="86963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56</xdr:row>
      <xdr:rowOff>152400</xdr:rowOff>
    </xdr:from>
    <xdr:to>
      <xdr:col>13</xdr:col>
      <xdr:colOff>0</xdr:colOff>
      <xdr:row>56</xdr:row>
      <xdr:rowOff>152400</xdr:rowOff>
    </xdr:to>
    <xdr:sp>
      <xdr:nvSpPr>
        <xdr:cNvPr id="2" name="Line 2"/>
        <xdr:cNvSpPr>
          <a:spLocks/>
        </xdr:cNvSpPr>
      </xdr:nvSpPr>
      <xdr:spPr>
        <a:xfrm>
          <a:off x="9363075" y="14897100"/>
          <a:ext cx="3790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56</xdr:row>
      <xdr:rowOff>152400</xdr:rowOff>
    </xdr:from>
    <xdr:to>
      <xdr:col>6</xdr:col>
      <xdr:colOff>19050</xdr:colOff>
      <xdr:row>56</xdr:row>
      <xdr:rowOff>152400</xdr:rowOff>
    </xdr:to>
    <xdr:sp>
      <xdr:nvSpPr>
        <xdr:cNvPr id="3" name="Line 3"/>
        <xdr:cNvSpPr>
          <a:spLocks/>
        </xdr:cNvSpPr>
      </xdr:nvSpPr>
      <xdr:spPr>
        <a:xfrm>
          <a:off x="47625" y="14897100"/>
          <a:ext cx="86963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63</xdr:row>
      <xdr:rowOff>152400</xdr:rowOff>
    </xdr:from>
    <xdr:to>
      <xdr:col>6</xdr:col>
      <xdr:colOff>19050</xdr:colOff>
      <xdr:row>63</xdr:row>
      <xdr:rowOff>152400</xdr:rowOff>
    </xdr:to>
    <xdr:sp>
      <xdr:nvSpPr>
        <xdr:cNvPr id="4" name="Line 9"/>
        <xdr:cNvSpPr>
          <a:spLocks/>
        </xdr:cNvSpPr>
      </xdr:nvSpPr>
      <xdr:spPr>
        <a:xfrm>
          <a:off x="47625" y="16297275"/>
          <a:ext cx="869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63</xdr:row>
      <xdr:rowOff>152400</xdr:rowOff>
    </xdr:from>
    <xdr:to>
      <xdr:col>13</xdr:col>
      <xdr:colOff>0</xdr:colOff>
      <xdr:row>63</xdr:row>
      <xdr:rowOff>152400</xdr:rowOff>
    </xdr:to>
    <xdr:sp>
      <xdr:nvSpPr>
        <xdr:cNvPr id="5" name="Line 10"/>
        <xdr:cNvSpPr>
          <a:spLocks/>
        </xdr:cNvSpPr>
      </xdr:nvSpPr>
      <xdr:spPr>
        <a:xfrm>
          <a:off x="9363075" y="16297275"/>
          <a:ext cx="3790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63</xdr:row>
      <xdr:rowOff>152400</xdr:rowOff>
    </xdr:from>
    <xdr:to>
      <xdr:col>6</xdr:col>
      <xdr:colOff>19050</xdr:colOff>
      <xdr:row>63</xdr:row>
      <xdr:rowOff>152400</xdr:rowOff>
    </xdr:to>
    <xdr:sp>
      <xdr:nvSpPr>
        <xdr:cNvPr id="6" name="Line 11"/>
        <xdr:cNvSpPr>
          <a:spLocks/>
        </xdr:cNvSpPr>
      </xdr:nvSpPr>
      <xdr:spPr>
        <a:xfrm>
          <a:off x="47625" y="16297275"/>
          <a:ext cx="869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63</xdr:row>
      <xdr:rowOff>152400</xdr:rowOff>
    </xdr:from>
    <xdr:to>
      <xdr:col>12</xdr:col>
      <xdr:colOff>438150</xdr:colOff>
      <xdr:row>63</xdr:row>
      <xdr:rowOff>152400</xdr:rowOff>
    </xdr:to>
    <xdr:sp>
      <xdr:nvSpPr>
        <xdr:cNvPr id="7" name="Line 12"/>
        <xdr:cNvSpPr>
          <a:spLocks/>
        </xdr:cNvSpPr>
      </xdr:nvSpPr>
      <xdr:spPr>
        <a:xfrm>
          <a:off x="9363075" y="16297275"/>
          <a:ext cx="3619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92</xdr:row>
      <xdr:rowOff>142875</xdr:rowOff>
    </xdr:from>
    <xdr:to>
      <xdr:col>11</xdr:col>
      <xdr:colOff>171450</xdr:colOff>
      <xdr:row>99</xdr:row>
      <xdr:rowOff>152400</xdr:rowOff>
    </xdr:to>
    <xdr:sp>
      <xdr:nvSpPr>
        <xdr:cNvPr id="8" name="TextBox 13"/>
        <xdr:cNvSpPr txBox="1">
          <a:spLocks noChangeArrowheads="1"/>
        </xdr:cNvSpPr>
      </xdr:nvSpPr>
      <xdr:spPr>
        <a:xfrm>
          <a:off x="9039225" y="21021675"/>
          <a:ext cx="3067050" cy="1143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 NOTES
 1. Region 1 includes Clallam, Island, Jefferson (except coastal
     area south of the Hoh River), King, Kitsap, Lewis, Mason,
     Pierce, San Juan, Skagit, Snohomish, Thurston and Whatcom 
     counties in Washington.
 2. Change Year to date reflects change from prices published in
     the April 2002 issue.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2486025</xdr:colOff>
      <xdr:row>211</xdr:row>
      <xdr:rowOff>66675</xdr:rowOff>
    </xdr:from>
    <xdr:ext cx="76200" cy="200025"/>
    <xdr:sp>
      <xdr:nvSpPr>
        <xdr:cNvPr id="1" name="TextBox 28"/>
        <xdr:cNvSpPr txBox="1">
          <a:spLocks noChangeArrowheads="1"/>
        </xdr:cNvSpPr>
      </xdr:nvSpPr>
      <xdr:spPr>
        <a:xfrm>
          <a:off x="2486025" y="66455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11"/>
  <sheetViews>
    <sheetView showGridLines="0" tabSelected="1" zoomScale="75" zoomScaleNormal="75" workbookViewId="0" topLeftCell="A1">
      <selection activeCell="A11" sqref="A11"/>
    </sheetView>
  </sheetViews>
  <sheetFormatPr defaultColWidth="9.140625" defaultRowHeight="12.75"/>
  <cols>
    <col min="1" max="1" width="107.8515625" style="0" customWidth="1"/>
  </cols>
  <sheetData>
    <row r="1" ht="12.75">
      <c r="A1" s="315"/>
    </row>
    <row r="2" ht="30">
      <c r="A2" s="318" t="s">
        <v>519</v>
      </c>
    </row>
    <row r="3" ht="27">
      <c r="A3" s="321" t="s">
        <v>245</v>
      </c>
    </row>
    <row r="4" ht="27">
      <c r="A4" s="321" t="s">
        <v>106</v>
      </c>
    </row>
    <row r="5" ht="18">
      <c r="A5" s="319"/>
    </row>
    <row r="6" ht="18">
      <c r="A6" s="104"/>
    </row>
    <row r="7" ht="26.25">
      <c r="A7" s="710" t="s">
        <v>726</v>
      </c>
    </row>
    <row r="8" ht="18">
      <c r="A8" s="320"/>
    </row>
    <row r="9" ht="18">
      <c r="A9" s="320" t="s">
        <v>727</v>
      </c>
    </row>
    <row r="10" ht="18">
      <c r="A10" s="320"/>
    </row>
    <row r="11" ht="18">
      <c r="A11" s="320" t="s">
        <v>105</v>
      </c>
    </row>
  </sheetData>
  <printOptions/>
  <pageMargins left="1.01" right="0.75" top="1" bottom="1" header="0.5" footer="0.5"/>
  <pageSetup fitToHeight="1" fitToWidth="1" horizontalDpi="300" verticalDpi="300" orientation="portrait" scale="78" r:id="rId2"/>
  <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DF214"/>
  <sheetViews>
    <sheetView showGridLines="0" zoomScaleSheetLayoutView="75" workbookViewId="0" topLeftCell="A1">
      <selection activeCell="A1" sqref="A1"/>
    </sheetView>
  </sheetViews>
  <sheetFormatPr defaultColWidth="9.140625" defaultRowHeight="12.75"/>
  <cols>
    <col min="1" max="1" width="47.00390625" style="0" customWidth="1"/>
    <col min="5" max="5" width="10.57421875" style="0" customWidth="1"/>
    <col min="6" max="6" width="12.7109375" style="0" customWidth="1"/>
    <col min="7" max="7" width="13.28125" style="0" customWidth="1"/>
    <col min="8" max="8" width="40.00390625" style="1" customWidth="1"/>
    <col min="10" max="10" width="27.28125" style="0" customWidth="1"/>
    <col min="11" max="11" width="10.28125" style="0" bestFit="1" customWidth="1"/>
    <col min="13" max="13" width="11.57421875" style="0" bestFit="1" customWidth="1"/>
    <col min="14" max="14" width="10.421875" style="0" bestFit="1" customWidth="1"/>
    <col min="16" max="16" width="9.7109375" style="0" bestFit="1" customWidth="1"/>
  </cols>
  <sheetData>
    <row r="1" spans="1:11" ht="47.25" customHeight="1" thickBot="1">
      <c r="A1" s="207" t="s">
        <v>266</v>
      </c>
      <c r="K1" t="s">
        <v>290</v>
      </c>
    </row>
    <row r="2" spans="1:110" ht="45" customHeight="1" thickBot="1">
      <c r="A2" s="473" t="s">
        <v>349</v>
      </c>
      <c r="B2" s="474" t="s">
        <v>176</v>
      </c>
      <c r="C2" s="475" t="s">
        <v>0</v>
      </c>
      <c r="D2" s="476" t="s">
        <v>11</v>
      </c>
      <c r="E2" s="476" t="s">
        <v>22</v>
      </c>
      <c r="F2" s="476" t="s">
        <v>18</v>
      </c>
      <c r="G2" s="476" t="s">
        <v>177</v>
      </c>
      <c r="H2" s="475" t="s">
        <v>178</v>
      </c>
      <c r="J2" s="205" t="s">
        <v>278</v>
      </c>
      <c r="K2" s="11">
        <v>1</v>
      </c>
      <c r="L2" s="11">
        <v>2</v>
      </c>
      <c r="M2" s="11">
        <v>3</v>
      </c>
      <c r="N2" s="11">
        <v>4</v>
      </c>
      <c r="O2" s="11">
        <v>5</v>
      </c>
      <c r="P2" s="11">
        <v>6</v>
      </c>
      <c r="Q2" s="11">
        <v>7</v>
      </c>
      <c r="R2" s="11">
        <v>8</v>
      </c>
      <c r="S2" s="11">
        <v>9</v>
      </c>
      <c r="T2" s="11">
        <v>10</v>
      </c>
      <c r="U2" s="11">
        <v>11</v>
      </c>
      <c r="V2" s="11">
        <v>12</v>
      </c>
      <c r="W2" s="11">
        <v>13</v>
      </c>
      <c r="X2" s="11">
        <v>14</v>
      </c>
      <c r="Y2" s="11">
        <v>15</v>
      </c>
      <c r="Z2" s="179">
        <v>16</v>
      </c>
      <c r="AA2" s="179">
        <v>17</v>
      </c>
      <c r="AB2" s="179">
        <v>18</v>
      </c>
      <c r="AC2" s="179">
        <v>19</v>
      </c>
      <c r="AD2" s="179">
        <v>20</v>
      </c>
      <c r="AE2" s="179">
        <v>21</v>
      </c>
      <c r="AF2" s="179">
        <v>22</v>
      </c>
      <c r="AG2" s="179">
        <v>23</v>
      </c>
      <c r="AH2" s="179">
        <v>24</v>
      </c>
      <c r="AI2" s="179">
        <v>25</v>
      </c>
      <c r="AJ2" s="179">
        <v>26</v>
      </c>
      <c r="AK2" s="179">
        <v>27</v>
      </c>
      <c r="AL2" s="179">
        <v>28</v>
      </c>
      <c r="AM2" s="179">
        <v>29</v>
      </c>
      <c r="AN2" s="179">
        <v>30</v>
      </c>
      <c r="AO2" s="179">
        <v>31</v>
      </c>
      <c r="AP2" s="179">
        <v>32</v>
      </c>
      <c r="AQ2" s="179">
        <v>33</v>
      </c>
      <c r="AR2" s="179">
        <v>34</v>
      </c>
      <c r="AS2" s="179">
        <v>35</v>
      </c>
      <c r="AT2" s="179">
        <v>36</v>
      </c>
      <c r="AU2" s="179">
        <v>37</v>
      </c>
      <c r="AV2" s="179">
        <v>38</v>
      </c>
      <c r="AW2" s="179">
        <v>39</v>
      </c>
      <c r="AX2" s="179">
        <v>40</v>
      </c>
      <c r="AY2" s="179">
        <v>41</v>
      </c>
      <c r="AZ2" s="179">
        <v>42</v>
      </c>
      <c r="BA2" s="179">
        <v>43</v>
      </c>
      <c r="BB2" s="179">
        <v>44</v>
      </c>
      <c r="BC2" s="179">
        <v>45</v>
      </c>
      <c r="BD2" s="179">
        <v>46</v>
      </c>
      <c r="BE2" s="179">
        <v>47</v>
      </c>
      <c r="BF2" s="179">
        <v>48</v>
      </c>
      <c r="BG2" s="179">
        <v>49</v>
      </c>
      <c r="BH2" s="179">
        <v>50</v>
      </c>
      <c r="BI2" s="179">
        <v>51</v>
      </c>
      <c r="BJ2" s="179">
        <v>52</v>
      </c>
      <c r="BK2" s="179">
        <v>53</v>
      </c>
      <c r="BL2" s="179">
        <v>54</v>
      </c>
      <c r="BM2" s="179">
        <v>55</v>
      </c>
      <c r="BN2" s="179">
        <v>56</v>
      </c>
      <c r="BO2" s="179">
        <v>57</v>
      </c>
      <c r="BP2" s="179">
        <v>58</v>
      </c>
      <c r="BQ2" s="179">
        <v>59</v>
      </c>
      <c r="BR2" s="179">
        <v>60</v>
      </c>
      <c r="BS2" s="179">
        <v>61</v>
      </c>
      <c r="BT2" s="179">
        <v>62</v>
      </c>
      <c r="BU2" s="179">
        <v>63</v>
      </c>
      <c r="BV2" s="179">
        <v>64</v>
      </c>
      <c r="BW2" s="179">
        <v>65</v>
      </c>
      <c r="BX2" s="179">
        <v>66</v>
      </c>
      <c r="BY2" s="179">
        <v>67</v>
      </c>
      <c r="BZ2" s="179">
        <v>68</v>
      </c>
      <c r="CA2" s="179">
        <v>69</v>
      </c>
      <c r="CB2" s="179">
        <v>70</v>
      </c>
      <c r="CC2" s="179">
        <v>71</v>
      </c>
      <c r="CD2" s="179">
        <v>72</v>
      </c>
      <c r="CE2" s="179">
        <v>73</v>
      </c>
      <c r="CF2" s="179">
        <v>74</v>
      </c>
      <c r="CG2" s="179">
        <v>75</v>
      </c>
      <c r="CH2" s="179">
        <v>76</v>
      </c>
      <c r="CI2" s="179">
        <v>77</v>
      </c>
      <c r="CJ2" s="179">
        <v>78</v>
      </c>
      <c r="CK2" s="179">
        <v>79</v>
      </c>
      <c r="CL2" s="179">
        <v>80</v>
      </c>
      <c r="CM2" s="179">
        <v>81</v>
      </c>
      <c r="CN2" s="179">
        <v>82</v>
      </c>
      <c r="CO2" s="179">
        <v>83</v>
      </c>
      <c r="CP2" s="179">
        <v>84</v>
      </c>
      <c r="CQ2" s="179">
        <v>85</v>
      </c>
      <c r="CR2" s="179">
        <v>86</v>
      </c>
      <c r="CS2" s="179">
        <v>87</v>
      </c>
      <c r="CT2" s="179">
        <v>88</v>
      </c>
      <c r="CU2" s="179">
        <v>89</v>
      </c>
      <c r="CV2" s="179">
        <v>90</v>
      </c>
      <c r="CW2" s="179">
        <v>91</v>
      </c>
      <c r="CX2" s="179">
        <v>92</v>
      </c>
      <c r="CY2" s="179">
        <v>93</v>
      </c>
      <c r="CZ2" s="179">
        <v>94</v>
      </c>
      <c r="DA2" s="179">
        <v>95</v>
      </c>
      <c r="DB2" s="179">
        <v>96</v>
      </c>
      <c r="DC2" s="179">
        <v>97</v>
      </c>
      <c r="DD2" s="179">
        <v>98</v>
      </c>
      <c r="DE2" s="179">
        <v>99</v>
      </c>
      <c r="DF2" s="179">
        <v>100</v>
      </c>
    </row>
    <row r="3" spans="1:110" ht="18" customHeight="1">
      <c r="A3" s="680" t="s">
        <v>42</v>
      </c>
      <c r="B3" s="681"/>
      <c r="C3" s="646"/>
      <c r="D3" s="647"/>
      <c r="E3" s="647"/>
      <c r="F3" s="647"/>
      <c r="G3" s="647"/>
      <c r="H3" s="683"/>
      <c r="J3" s="11" t="s">
        <v>279</v>
      </c>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row>
    <row r="4" spans="1:110" ht="18" customHeight="1">
      <c r="A4" s="13" t="s">
        <v>43</v>
      </c>
      <c r="B4" s="11">
        <v>1</v>
      </c>
      <c r="C4" s="11" t="s">
        <v>64</v>
      </c>
      <c r="D4" s="11">
        <f>IF('Farm &amp; Buffer Assumptions'!C99=1,F12*'Farm &amp; Buffer Assumptions'!C92,0)</f>
        <v>0</v>
      </c>
      <c r="E4" s="63">
        <v>1</v>
      </c>
      <c r="F4" s="67">
        <f>E4*D4</f>
        <v>0</v>
      </c>
      <c r="G4" s="227">
        <f>F4</f>
        <v>0</v>
      </c>
      <c r="H4" s="13"/>
      <c r="J4" s="11" t="s">
        <v>283</v>
      </c>
      <c r="K4" s="67">
        <f>F4</f>
        <v>0</v>
      </c>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row>
    <row r="5" spans="1:110" ht="18" customHeight="1">
      <c r="A5" s="13" t="s">
        <v>237</v>
      </c>
      <c r="B5" s="11">
        <f>'Farm &amp; Buffer Assumptions'!C95</f>
        <v>5</v>
      </c>
      <c r="C5" s="11" t="s">
        <v>64</v>
      </c>
      <c r="D5" s="11">
        <f>IF('Farm &amp; Buffer Assumptions'!C100=1,F16*'Farm &amp; Buffer Assumptions'!C93,0)</f>
        <v>0</v>
      </c>
      <c r="E5" s="63">
        <v>1</v>
      </c>
      <c r="F5" s="67">
        <f>E5*D5</f>
        <v>0</v>
      </c>
      <c r="G5" s="227">
        <f>(PV('Farm &amp; Buffer Assumptions'!C74,B5,-F5))</f>
        <v>0</v>
      </c>
      <c r="H5" s="13"/>
      <c r="J5" s="11" t="s">
        <v>284</v>
      </c>
      <c r="K5" s="67">
        <f>IF(K2=($B$5+1),$F$5,IF(K2&lt;=$B$5,$F$5,0))</f>
        <v>0</v>
      </c>
      <c r="L5" s="67">
        <f>IF(L2=($B$5+1),$F$5,IF(L2&lt;=$B$5,$F$5,0))</f>
        <v>0</v>
      </c>
      <c r="M5" s="67">
        <f>IF(M2=($B$5+1),$F$5,IF(M2&lt;=$B$5,$F$5,0))</f>
        <v>0</v>
      </c>
      <c r="N5" s="67">
        <f>IF(N2&lt;=$B$5,$F$5,0)</f>
        <v>0</v>
      </c>
      <c r="O5" s="67">
        <f aca="true" t="shared" si="0" ref="O5:BZ5">IF(O2&lt;=$B$5,$F$5,0)</f>
        <v>0</v>
      </c>
      <c r="P5" s="67">
        <f t="shared" si="0"/>
        <v>0</v>
      </c>
      <c r="Q5" s="67">
        <f t="shared" si="0"/>
        <v>0</v>
      </c>
      <c r="R5" s="67">
        <f t="shared" si="0"/>
        <v>0</v>
      </c>
      <c r="S5" s="67">
        <f t="shared" si="0"/>
        <v>0</v>
      </c>
      <c r="T5" s="67">
        <f t="shared" si="0"/>
        <v>0</v>
      </c>
      <c r="U5" s="67">
        <f t="shared" si="0"/>
        <v>0</v>
      </c>
      <c r="V5" s="67">
        <f t="shared" si="0"/>
        <v>0</v>
      </c>
      <c r="W5" s="67">
        <f t="shared" si="0"/>
        <v>0</v>
      </c>
      <c r="X5" s="67">
        <f t="shared" si="0"/>
        <v>0</v>
      </c>
      <c r="Y5" s="67">
        <f t="shared" si="0"/>
        <v>0</v>
      </c>
      <c r="Z5" s="67">
        <f t="shared" si="0"/>
        <v>0</v>
      </c>
      <c r="AA5" s="67">
        <f t="shared" si="0"/>
        <v>0</v>
      </c>
      <c r="AB5" s="67">
        <f t="shared" si="0"/>
        <v>0</v>
      </c>
      <c r="AC5" s="67">
        <f t="shared" si="0"/>
        <v>0</v>
      </c>
      <c r="AD5" s="67">
        <f t="shared" si="0"/>
        <v>0</v>
      </c>
      <c r="AE5" s="67">
        <f t="shared" si="0"/>
        <v>0</v>
      </c>
      <c r="AF5" s="67">
        <f t="shared" si="0"/>
        <v>0</v>
      </c>
      <c r="AG5" s="67">
        <f t="shared" si="0"/>
        <v>0</v>
      </c>
      <c r="AH5" s="67">
        <f t="shared" si="0"/>
        <v>0</v>
      </c>
      <c r="AI5" s="67">
        <f t="shared" si="0"/>
        <v>0</v>
      </c>
      <c r="AJ5" s="67">
        <f t="shared" si="0"/>
        <v>0</v>
      </c>
      <c r="AK5" s="67">
        <f t="shared" si="0"/>
        <v>0</v>
      </c>
      <c r="AL5" s="67">
        <f t="shared" si="0"/>
        <v>0</v>
      </c>
      <c r="AM5" s="67">
        <f t="shared" si="0"/>
        <v>0</v>
      </c>
      <c r="AN5" s="67">
        <f t="shared" si="0"/>
        <v>0</v>
      </c>
      <c r="AO5" s="67">
        <f t="shared" si="0"/>
        <v>0</v>
      </c>
      <c r="AP5" s="67">
        <f t="shared" si="0"/>
        <v>0</v>
      </c>
      <c r="AQ5" s="67">
        <f t="shared" si="0"/>
        <v>0</v>
      </c>
      <c r="AR5" s="67">
        <f t="shared" si="0"/>
        <v>0</v>
      </c>
      <c r="AS5" s="67">
        <f t="shared" si="0"/>
        <v>0</v>
      </c>
      <c r="AT5" s="67">
        <f t="shared" si="0"/>
        <v>0</v>
      </c>
      <c r="AU5" s="67">
        <f t="shared" si="0"/>
        <v>0</v>
      </c>
      <c r="AV5" s="67">
        <f t="shared" si="0"/>
        <v>0</v>
      </c>
      <c r="AW5" s="67">
        <f t="shared" si="0"/>
        <v>0</v>
      </c>
      <c r="AX5" s="67">
        <f t="shared" si="0"/>
        <v>0</v>
      </c>
      <c r="AY5" s="67">
        <f t="shared" si="0"/>
        <v>0</v>
      </c>
      <c r="AZ5" s="67">
        <f t="shared" si="0"/>
        <v>0</v>
      </c>
      <c r="BA5" s="67">
        <f t="shared" si="0"/>
        <v>0</v>
      </c>
      <c r="BB5" s="67">
        <f t="shared" si="0"/>
        <v>0</v>
      </c>
      <c r="BC5" s="67">
        <f t="shared" si="0"/>
        <v>0</v>
      </c>
      <c r="BD5" s="67">
        <f t="shared" si="0"/>
        <v>0</v>
      </c>
      <c r="BE5" s="67">
        <f t="shared" si="0"/>
        <v>0</v>
      </c>
      <c r="BF5" s="67">
        <f t="shared" si="0"/>
        <v>0</v>
      </c>
      <c r="BG5" s="67">
        <f t="shared" si="0"/>
        <v>0</v>
      </c>
      <c r="BH5" s="67">
        <f t="shared" si="0"/>
        <v>0</v>
      </c>
      <c r="BI5" s="67">
        <f t="shared" si="0"/>
        <v>0</v>
      </c>
      <c r="BJ5" s="67">
        <f t="shared" si="0"/>
        <v>0</v>
      </c>
      <c r="BK5" s="67">
        <f t="shared" si="0"/>
        <v>0</v>
      </c>
      <c r="BL5" s="67">
        <f t="shared" si="0"/>
        <v>0</v>
      </c>
      <c r="BM5" s="67">
        <f t="shared" si="0"/>
        <v>0</v>
      </c>
      <c r="BN5" s="67">
        <f t="shared" si="0"/>
        <v>0</v>
      </c>
      <c r="BO5" s="67">
        <f t="shared" si="0"/>
        <v>0</v>
      </c>
      <c r="BP5" s="67">
        <f t="shared" si="0"/>
        <v>0</v>
      </c>
      <c r="BQ5" s="67">
        <f t="shared" si="0"/>
        <v>0</v>
      </c>
      <c r="BR5" s="67">
        <f t="shared" si="0"/>
        <v>0</v>
      </c>
      <c r="BS5" s="67">
        <f t="shared" si="0"/>
        <v>0</v>
      </c>
      <c r="BT5" s="67">
        <f t="shared" si="0"/>
        <v>0</v>
      </c>
      <c r="BU5" s="67">
        <f t="shared" si="0"/>
        <v>0</v>
      </c>
      <c r="BV5" s="67">
        <f t="shared" si="0"/>
        <v>0</v>
      </c>
      <c r="BW5" s="67">
        <f t="shared" si="0"/>
        <v>0</v>
      </c>
      <c r="BX5" s="67">
        <f t="shared" si="0"/>
        <v>0</v>
      </c>
      <c r="BY5" s="67">
        <f t="shared" si="0"/>
        <v>0</v>
      </c>
      <c r="BZ5" s="67">
        <f t="shared" si="0"/>
        <v>0</v>
      </c>
      <c r="CA5" s="67">
        <f aca="true" t="shared" si="1" ref="CA5:DF5">IF(CA2&lt;=$B$5,$F$5,0)</f>
        <v>0</v>
      </c>
      <c r="CB5" s="67">
        <f t="shared" si="1"/>
        <v>0</v>
      </c>
      <c r="CC5" s="67">
        <f t="shared" si="1"/>
        <v>0</v>
      </c>
      <c r="CD5" s="67">
        <f t="shared" si="1"/>
        <v>0</v>
      </c>
      <c r="CE5" s="67">
        <f t="shared" si="1"/>
        <v>0</v>
      </c>
      <c r="CF5" s="67">
        <f t="shared" si="1"/>
        <v>0</v>
      </c>
      <c r="CG5" s="67">
        <f t="shared" si="1"/>
        <v>0</v>
      </c>
      <c r="CH5" s="67">
        <f t="shared" si="1"/>
        <v>0</v>
      </c>
      <c r="CI5" s="67">
        <f t="shared" si="1"/>
        <v>0</v>
      </c>
      <c r="CJ5" s="67">
        <f t="shared" si="1"/>
        <v>0</v>
      </c>
      <c r="CK5" s="67">
        <f t="shared" si="1"/>
        <v>0</v>
      </c>
      <c r="CL5" s="67">
        <f t="shared" si="1"/>
        <v>0</v>
      </c>
      <c r="CM5" s="67">
        <f t="shared" si="1"/>
        <v>0</v>
      </c>
      <c r="CN5" s="67">
        <f t="shared" si="1"/>
        <v>0</v>
      </c>
      <c r="CO5" s="67">
        <f t="shared" si="1"/>
        <v>0</v>
      </c>
      <c r="CP5" s="67">
        <f t="shared" si="1"/>
        <v>0</v>
      </c>
      <c r="CQ5" s="67">
        <f t="shared" si="1"/>
        <v>0</v>
      </c>
      <c r="CR5" s="67">
        <f t="shared" si="1"/>
        <v>0</v>
      </c>
      <c r="CS5" s="67">
        <f t="shared" si="1"/>
        <v>0</v>
      </c>
      <c r="CT5" s="67">
        <f t="shared" si="1"/>
        <v>0</v>
      </c>
      <c r="CU5" s="67">
        <f t="shared" si="1"/>
        <v>0</v>
      </c>
      <c r="CV5" s="67">
        <f t="shared" si="1"/>
        <v>0</v>
      </c>
      <c r="CW5" s="67">
        <f t="shared" si="1"/>
        <v>0</v>
      </c>
      <c r="CX5" s="67">
        <f t="shared" si="1"/>
        <v>0</v>
      </c>
      <c r="CY5" s="67">
        <f t="shared" si="1"/>
        <v>0</v>
      </c>
      <c r="CZ5" s="67">
        <f t="shared" si="1"/>
        <v>0</v>
      </c>
      <c r="DA5" s="67">
        <f t="shared" si="1"/>
        <v>0</v>
      </c>
      <c r="DB5" s="67">
        <f t="shared" si="1"/>
        <v>0</v>
      </c>
      <c r="DC5" s="67">
        <f t="shared" si="1"/>
        <v>0</v>
      </c>
      <c r="DD5" s="67">
        <f t="shared" si="1"/>
        <v>0</v>
      </c>
      <c r="DE5" s="67">
        <f t="shared" si="1"/>
        <v>0</v>
      </c>
      <c r="DF5" s="67">
        <f t="shared" si="1"/>
        <v>0</v>
      </c>
    </row>
    <row r="6" spans="1:110" ht="18" customHeight="1">
      <c r="A6" s="11" t="s">
        <v>234</v>
      </c>
      <c r="B6" s="11">
        <f>'Farm &amp; Buffer Assumptions'!C89</f>
        <v>15</v>
      </c>
      <c r="C6" s="11" t="s">
        <v>64</v>
      </c>
      <c r="D6" s="11">
        <f>IF('Farm &amp; Buffer Assumptions'!C97=1,Prices!C29*'Farm &amp; Buffer Assumptions'!C90,0)</f>
        <v>0</v>
      </c>
      <c r="E6" s="63">
        <v>1</v>
      </c>
      <c r="F6" s="67">
        <f>E6*D6</f>
        <v>0</v>
      </c>
      <c r="G6" s="227">
        <f>-PV('Farm &amp; Buffer Assumptions'!C74,B6,F6)</f>
        <v>0</v>
      </c>
      <c r="H6" s="13"/>
      <c r="J6" s="11" t="s">
        <v>285</v>
      </c>
      <c r="K6" s="67">
        <f>IF(K2&lt;=$B$6,$F$6,0)</f>
        <v>0</v>
      </c>
      <c r="L6" s="67">
        <f aca="true" t="shared" si="2" ref="L6:BW6">IF(L2&lt;=$B$6,$F$6,0)</f>
        <v>0</v>
      </c>
      <c r="M6" s="67">
        <f t="shared" si="2"/>
        <v>0</v>
      </c>
      <c r="N6" s="67">
        <f t="shared" si="2"/>
        <v>0</v>
      </c>
      <c r="O6" s="67">
        <f t="shared" si="2"/>
        <v>0</v>
      </c>
      <c r="P6" s="67">
        <f t="shared" si="2"/>
        <v>0</v>
      </c>
      <c r="Q6" s="67">
        <f t="shared" si="2"/>
        <v>0</v>
      </c>
      <c r="R6" s="67">
        <f t="shared" si="2"/>
        <v>0</v>
      </c>
      <c r="S6" s="67">
        <f t="shared" si="2"/>
        <v>0</v>
      </c>
      <c r="T6" s="67">
        <f t="shared" si="2"/>
        <v>0</v>
      </c>
      <c r="U6" s="67">
        <f t="shared" si="2"/>
        <v>0</v>
      </c>
      <c r="V6" s="67">
        <f t="shared" si="2"/>
        <v>0</v>
      </c>
      <c r="W6" s="67">
        <f t="shared" si="2"/>
        <v>0</v>
      </c>
      <c r="X6" s="67">
        <f t="shared" si="2"/>
        <v>0</v>
      </c>
      <c r="Y6" s="67">
        <f t="shared" si="2"/>
        <v>0</v>
      </c>
      <c r="Z6" s="67">
        <f t="shared" si="2"/>
        <v>0</v>
      </c>
      <c r="AA6" s="67">
        <f t="shared" si="2"/>
        <v>0</v>
      </c>
      <c r="AB6" s="67">
        <f t="shared" si="2"/>
        <v>0</v>
      </c>
      <c r="AC6" s="67">
        <f t="shared" si="2"/>
        <v>0</v>
      </c>
      <c r="AD6" s="67">
        <f t="shared" si="2"/>
        <v>0</v>
      </c>
      <c r="AE6" s="67">
        <f t="shared" si="2"/>
        <v>0</v>
      </c>
      <c r="AF6" s="67">
        <f t="shared" si="2"/>
        <v>0</v>
      </c>
      <c r="AG6" s="67">
        <f t="shared" si="2"/>
        <v>0</v>
      </c>
      <c r="AH6" s="67">
        <f t="shared" si="2"/>
        <v>0</v>
      </c>
      <c r="AI6" s="67">
        <f t="shared" si="2"/>
        <v>0</v>
      </c>
      <c r="AJ6" s="67">
        <f t="shared" si="2"/>
        <v>0</v>
      </c>
      <c r="AK6" s="67">
        <f t="shared" si="2"/>
        <v>0</v>
      </c>
      <c r="AL6" s="67">
        <f t="shared" si="2"/>
        <v>0</v>
      </c>
      <c r="AM6" s="67">
        <f t="shared" si="2"/>
        <v>0</v>
      </c>
      <c r="AN6" s="67">
        <f t="shared" si="2"/>
        <v>0</v>
      </c>
      <c r="AO6" s="67">
        <f t="shared" si="2"/>
        <v>0</v>
      </c>
      <c r="AP6" s="67">
        <f t="shared" si="2"/>
        <v>0</v>
      </c>
      <c r="AQ6" s="67">
        <f t="shared" si="2"/>
        <v>0</v>
      </c>
      <c r="AR6" s="67">
        <f t="shared" si="2"/>
        <v>0</v>
      </c>
      <c r="AS6" s="67">
        <f t="shared" si="2"/>
        <v>0</v>
      </c>
      <c r="AT6" s="67">
        <f t="shared" si="2"/>
        <v>0</v>
      </c>
      <c r="AU6" s="67">
        <f t="shared" si="2"/>
        <v>0</v>
      </c>
      <c r="AV6" s="67">
        <f t="shared" si="2"/>
        <v>0</v>
      </c>
      <c r="AW6" s="67">
        <f t="shared" si="2"/>
        <v>0</v>
      </c>
      <c r="AX6" s="67">
        <f t="shared" si="2"/>
        <v>0</v>
      </c>
      <c r="AY6" s="67">
        <f t="shared" si="2"/>
        <v>0</v>
      </c>
      <c r="AZ6" s="67">
        <f t="shared" si="2"/>
        <v>0</v>
      </c>
      <c r="BA6" s="67">
        <f t="shared" si="2"/>
        <v>0</v>
      </c>
      <c r="BB6" s="67">
        <f t="shared" si="2"/>
        <v>0</v>
      </c>
      <c r="BC6" s="67">
        <f t="shared" si="2"/>
        <v>0</v>
      </c>
      <c r="BD6" s="67">
        <f t="shared" si="2"/>
        <v>0</v>
      </c>
      <c r="BE6" s="67">
        <f t="shared" si="2"/>
        <v>0</v>
      </c>
      <c r="BF6" s="67">
        <f t="shared" si="2"/>
        <v>0</v>
      </c>
      <c r="BG6" s="67">
        <f t="shared" si="2"/>
        <v>0</v>
      </c>
      <c r="BH6" s="67">
        <f t="shared" si="2"/>
        <v>0</v>
      </c>
      <c r="BI6" s="67">
        <f t="shared" si="2"/>
        <v>0</v>
      </c>
      <c r="BJ6" s="67">
        <f t="shared" si="2"/>
        <v>0</v>
      </c>
      <c r="BK6" s="67">
        <f t="shared" si="2"/>
        <v>0</v>
      </c>
      <c r="BL6" s="67">
        <f t="shared" si="2"/>
        <v>0</v>
      </c>
      <c r="BM6" s="67">
        <f t="shared" si="2"/>
        <v>0</v>
      </c>
      <c r="BN6" s="67">
        <f t="shared" si="2"/>
        <v>0</v>
      </c>
      <c r="BO6" s="67">
        <f t="shared" si="2"/>
        <v>0</v>
      </c>
      <c r="BP6" s="67">
        <f t="shared" si="2"/>
        <v>0</v>
      </c>
      <c r="BQ6" s="67">
        <f t="shared" si="2"/>
        <v>0</v>
      </c>
      <c r="BR6" s="67">
        <f t="shared" si="2"/>
        <v>0</v>
      </c>
      <c r="BS6" s="67">
        <f t="shared" si="2"/>
        <v>0</v>
      </c>
      <c r="BT6" s="67">
        <f t="shared" si="2"/>
        <v>0</v>
      </c>
      <c r="BU6" s="67">
        <f t="shared" si="2"/>
        <v>0</v>
      </c>
      <c r="BV6" s="67">
        <f t="shared" si="2"/>
        <v>0</v>
      </c>
      <c r="BW6" s="67">
        <f t="shared" si="2"/>
        <v>0</v>
      </c>
      <c r="BX6" s="67">
        <f aca="true" t="shared" si="3" ref="BX6:DF6">IF(BX2&lt;=$B$6,$F$6,0)</f>
        <v>0</v>
      </c>
      <c r="BY6" s="67">
        <f t="shared" si="3"/>
        <v>0</v>
      </c>
      <c r="BZ6" s="67">
        <f t="shared" si="3"/>
        <v>0</v>
      </c>
      <c r="CA6" s="67">
        <f t="shared" si="3"/>
        <v>0</v>
      </c>
      <c r="CB6" s="67">
        <f t="shared" si="3"/>
        <v>0</v>
      </c>
      <c r="CC6" s="67">
        <f t="shared" si="3"/>
        <v>0</v>
      </c>
      <c r="CD6" s="67">
        <f t="shared" si="3"/>
        <v>0</v>
      </c>
      <c r="CE6" s="67">
        <f t="shared" si="3"/>
        <v>0</v>
      </c>
      <c r="CF6" s="67">
        <f t="shared" si="3"/>
        <v>0</v>
      </c>
      <c r="CG6" s="67">
        <f t="shared" si="3"/>
        <v>0</v>
      </c>
      <c r="CH6" s="67">
        <f t="shared" si="3"/>
        <v>0</v>
      </c>
      <c r="CI6" s="67">
        <f t="shared" si="3"/>
        <v>0</v>
      </c>
      <c r="CJ6" s="67">
        <f t="shared" si="3"/>
        <v>0</v>
      </c>
      <c r="CK6" s="67">
        <f t="shared" si="3"/>
        <v>0</v>
      </c>
      <c r="CL6" s="67">
        <f t="shared" si="3"/>
        <v>0</v>
      </c>
      <c r="CM6" s="67">
        <f t="shared" si="3"/>
        <v>0</v>
      </c>
      <c r="CN6" s="67">
        <f t="shared" si="3"/>
        <v>0</v>
      </c>
      <c r="CO6" s="67">
        <f t="shared" si="3"/>
        <v>0</v>
      </c>
      <c r="CP6" s="67">
        <f t="shared" si="3"/>
        <v>0</v>
      </c>
      <c r="CQ6" s="67">
        <f t="shared" si="3"/>
        <v>0</v>
      </c>
      <c r="CR6" s="67">
        <f t="shared" si="3"/>
        <v>0</v>
      </c>
      <c r="CS6" s="67">
        <f t="shared" si="3"/>
        <v>0</v>
      </c>
      <c r="CT6" s="67">
        <f t="shared" si="3"/>
        <v>0</v>
      </c>
      <c r="CU6" s="67">
        <f t="shared" si="3"/>
        <v>0</v>
      </c>
      <c r="CV6" s="67">
        <f t="shared" si="3"/>
        <v>0</v>
      </c>
      <c r="CW6" s="67">
        <f t="shared" si="3"/>
        <v>0</v>
      </c>
      <c r="CX6" s="67">
        <f t="shared" si="3"/>
        <v>0</v>
      </c>
      <c r="CY6" s="67">
        <f t="shared" si="3"/>
        <v>0</v>
      </c>
      <c r="CZ6" s="67">
        <f t="shared" si="3"/>
        <v>0</v>
      </c>
      <c r="DA6" s="67">
        <f t="shared" si="3"/>
        <v>0</v>
      </c>
      <c r="DB6" s="67">
        <f t="shared" si="3"/>
        <v>0</v>
      </c>
      <c r="DC6" s="67">
        <f t="shared" si="3"/>
        <v>0</v>
      </c>
      <c r="DD6" s="67">
        <f t="shared" si="3"/>
        <v>0</v>
      </c>
      <c r="DE6" s="67">
        <f t="shared" si="3"/>
        <v>0</v>
      </c>
      <c r="DF6" s="67">
        <f t="shared" si="3"/>
        <v>0</v>
      </c>
    </row>
    <row r="7" spans="1:110" ht="18" customHeight="1">
      <c r="A7" s="11" t="s">
        <v>86</v>
      </c>
      <c r="B7" s="11">
        <v>1</v>
      </c>
      <c r="C7" s="11" t="s">
        <v>64</v>
      </c>
      <c r="D7" s="11">
        <f>IF('Farm &amp; Buffer Assumptions'!C98=1,'Farm &amp; Buffer Assumptions'!C91,0)</f>
        <v>0</v>
      </c>
      <c r="E7" s="63">
        <v>1</v>
      </c>
      <c r="F7" s="67">
        <f>E7*D7</f>
        <v>0</v>
      </c>
      <c r="G7" s="227">
        <f>F7</f>
        <v>0</v>
      </c>
      <c r="H7" s="702"/>
      <c r="J7" s="11" t="s">
        <v>286</v>
      </c>
      <c r="K7" s="67">
        <f>F7</f>
        <v>0</v>
      </c>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row>
    <row r="8" spans="1:110" ht="18" customHeight="1">
      <c r="A8" s="70" t="s">
        <v>98</v>
      </c>
      <c r="B8" s="70"/>
      <c r="C8" s="65"/>
      <c r="D8" s="65"/>
      <c r="E8" s="65"/>
      <c r="F8" s="71">
        <f>SUM(F4:F7)</f>
        <v>0</v>
      </c>
      <c r="G8" s="235">
        <f>SUM(G4:G7)</f>
        <v>0</v>
      </c>
      <c r="H8" s="171"/>
      <c r="J8" s="11" t="s">
        <v>281</v>
      </c>
      <c r="K8" s="67">
        <f>G12</f>
        <v>50</v>
      </c>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row>
    <row r="9" spans="6:110" ht="18" customHeight="1">
      <c r="F9" s="68"/>
      <c r="G9" s="236"/>
      <c r="H9" s="149"/>
      <c r="J9" s="11" t="s">
        <v>282</v>
      </c>
      <c r="K9" s="67">
        <f>$F$16</f>
        <v>350</v>
      </c>
      <c r="L9" s="67">
        <f>$F$16</f>
        <v>350</v>
      </c>
      <c r="M9" s="67">
        <f aca="true" t="shared" si="4" ref="M9:BX9">$F$16</f>
        <v>350</v>
      </c>
      <c r="N9" s="67">
        <f t="shared" si="4"/>
        <v>350</v>
      </c>
      <c r="O9" s="67">
        <f t="shared" si="4"/>
        <v>350</v>
      </c>
      <c r="P9" s="67">
        <f t="shared" si="4"/>
        <v>350</v>
      </c>
      <c r="Q9" s="67">
        <f t="shared" si="4"/>
        <v>350</v>
      </c>
      <c r="R9" s="67">
        <f t="shared" si="4"/>
        <v>350</v>
      </c>
      <c r="S9" s="67">
        <f t="shared" si="4"/>
        <v>350</v>
      </c>
      <c r="T9" s="67">
        <f t="shared" si="4"/>
        <v>350</v>
      </c>
      <c r="U9" s="67">
        <f t="shared" si="4"/>
        <v>350</v>
      </c>
      <c r="V9" s="67">
        <f t="shared" si="4"/>
        <v>350</v>
      </c>
      <c r="W9" s="67">
        <f t="shared" si="4"/>
        <v>350</v>
      </c>
      <c r="X9" s="67">
        <f t="shared" si="4"/>
        <v>350</v>
      </c>
      <c r="Y9" s="67">
        <f t="shared" si="4"/>
        <v>350</v>
      </c>
      <c r="Z9" s="67">
        <f t="shared" si="4"/>
        <v>350</v>
      </c>
      <c r="AA9" s="67">
        <f t="shared" si="4"/>
        <v>350</v>
      </c>
      <c r="AB9" s="67">
        <f t="shared" si="4"/>
        <v>350</v>
      </c>
      <c r="AC9" s="67">
        <f t="shared" si="4"/>
        <v>350</v>
      </c>
      <c r="AD9" s="67">
        <f t="shared" si="4"/>
        <v>350</v>
      </c>
      <c r="AE9" s="67">
        <f t="shared" si="4"/>
        <v>350</v>
      </c>
      <c r="AF9" s="67">
        <f t="shared" si="4"/>
        <v>350</v>
      </c>
      <c r="AG9" s="67">
        <f t="shared" si="4"/>
        <v>350</v>
      </c>
      <c r="AH9" s="67">
        <f t="shared" si="4"/>
        <v>350</v>
      </c>
      <c r="AI9" s="67">
        <f t="shared" si="4"/>
        <v>350</v>
      </c>
      <c r="AJ9" s="67">
        <f t="shared" si="4"/>
        <v>350</v>
      </c>
      <c r="AK9" s="67">
        <f t="shared" si="4"/>
        <v>350</v>
      </c>
      <c r="AL9" s="67">
        <f t="shared" si="4"/>
        <v>350</v>
      </c>
      <c r="AM9" s="67">
        <f t="shared" si="4"/>
        <v>350</v>
      </c>
      <c r="AN9" s="67">
        <f t="shared" si="4"/>
        <v>350</v>
      </c>
      <c r="AO9" s="67">
        <f t="shared" si="4"/>
        <v>350</v>
      </c>
      <c r="AP9" s="67">
        <f t="shared" si="4"/>
        <v>350</v>
      </c>
      <c r="AQ9" s="67">
        <f t="shared" si="4"/>
        <v>350</v>
      </c>
      <c r="AR9" s="67">
        <f t="shared" si="4"/>
        <v>350</v>
      </c>
      <c r="AS9" s="67">
        <f t="shared" si="4"/>
        <v>350</v>
      </c>
      <c r="AT9" s="67">
        <f t="shared" si="4"/>
        <v>350</v>
      </c>
      <c r="AU9" s="67">
        <f t="shared" si="4"/>
        <v>350</v>
      </c>
      <c r="AV9" s="67">
        <f t="shared" si="4"/>
        <v>350</v>
      </c>
      <c r="AW9" s="67">
        <f t="shared" si="4"/>
        <v>350</v>
      </c>
      <c r="AX9" s="67">
        <f t="shared" si="4"/>
        <v>350</v>
      </c>
      <c r="AY9" s="67">
        <f t="shared" si="4"/>
        <v>350</v>
      </c>
      <c r="AZ9" s="67">
        <f t="shared" si="4"/>
        <v>350</v>
      </c>
      <c r="BA9" s="67">
        <f t="shared" si="4"/>
        <v>350</v>
      </c>
      <c r="BB9" s="67">
        <f t="shared" si="4"/>
        <v>350</v>
      </c>
      <c r="BC9" s="67">
        <f t="shared" si="4"/>
        <v>350</v>
      </c>
      <c r="BD9" s="67">
        <f t="shared" si="4"/>
        <v>350</v>
      </c>
      <c r="BE9" s="67">
        <f t="shared" si="4"/>
        <v>350</v>
      </c>
      <c r="BF9" s="67">
        <f t="shared" si="4"/>
        <v>350</v>
      </c>
      <c r="BG9" s="67">
        <f t="shared" si="4"/>
        <v>350</v>
      </c>
      <c r="BH9" s="67">
        <f t="shared" si="4"/>
        <v>350</v>
      </c>
      <c r="BI9" s="67">
        <f t="shared" si="4"/>
        <v>350</v>
      </c>
      <c r="BJ9" s="67">
        <f t="shared" si="4"/>
        <v>350</v>
      </c>
      <c r="BK9" s="67">
        <f t="shared" si="4"/>
        <v>350</v>
      </c>
      <c r="BL9" s="67">
        <f t="shared" si="4"/>
        <v>350</v>
      </c>
      <c r="BM9" s="67">
        <f t="shared" si="4"/>
        <v>350</v>
      </c>
      <c r="BN9" s="67">
        <f t="shared" si="4"/>
        <v>350</v>
      </c>
      <c r="BO9" s="67">
        <f t="shared" si="4"/>
        <v>350</v>
      </c>
      <c r="BP9" s="67">
        <f t="shared" si="4"/>
        <v>350</v>
      </c>
      <c r="BQ9" s="67">
        <f t="shared" si="4"/>
        <v>350</v>
      </c>
      <c r="BR9" s="67">
        <f t="shared" si="4"/>
        <v>350</v>
      </c>
      <c r="BS9" s="67">
        <f t="shared" si="4"/>
        <v>350</v>
      </c>
      <c r="BT9" s="67">
        <f t="shared" si="4"/>
        <v>350</v>
      </c>
      <c r="BU9" s="67">
        <f t="shared" si="4"/>
        <v>350</v>
      </c>
      <c r="BV9" s="67">
        <f t="shared" si="4"/>
        <v>350</v>
      </c>
      <c r="BW9" s="67">
        <f t="shared" si="4"/>
        <v>350</v>
      </c>
      <c r="BX9" s="67">
        <f t="shared" si="4"/>
        <v>350</v>
      </c>
      <c r="BY9" s="67">
        <f aca="true" t="shared" si="5" ref="BY9:DF9">$F$16</f>
        <v>350</v>
      </c>
      <c r="BZ9" s="67">
        <f t="shared" si="5"/>
        <v>350</v>
      </c>
      <c r="CA9" s="67">
        <f t="shared" si="5"/>
        <v>350</v>
      </c>
      <c r="CB9" s="67">
        <f t="shared" si="5"/>
        <v>350</v>
      </c>
      <c r="CC9" s="67">
        <f t="shared" si="5"/>
        <v>350</v>
      </c>
      <c r="CD9" s="67">
        <f t="shared" si="5"/>
        <v>350</v>
      </c>
      <c r="CE9" s="67">
        <f t="shared" si="5"/>
        <v>350</v>
      </c>
      <c r="CF9" s="67">
        <f t="shared" si="5"/>
        <v>350</v>
      </c>
      <c r="CG9" s="67">
        <f t="shared" si="5"/>
        <v>350</v>
      </c>
      <c r="CH9" s="67">
        <f t="shared" si="5"/>
        <v>350</v>
      </c>
      <c r="CI9" s="67">
        <f t="shared" si="5"/>
        <v>350</v>
      </c>
      <c r="CJ9" s="67">
        <f t="shared" si="5"/>
        <v>350</v>
      </c>
      <c r="CK9" s="67">
        <f t="shared" si="5"/>
        <v>350</v>
      </c>
      <c r="CL9" s="67">
        <f t="shared" si="5"/>
        <v>350</v>
      </c>
      <c r="CM9" s="67">
        <f t="shared" si="5"/>
        <v>350</v>
      </c>
      <c r="CN9" s="67">
        <f t="shared" si="5"/>
        <v>350</v>
      </c>
      <c r="CO9" s="67">
        <f t="shared" si="5"/>
        <v>350</v>
      </c>
      <c r="CP9" s="67">
        <f t="shared" si="5"/>
        <v>350</v>
      </c>
      <c r="CQ9" s="67">
        <f t="shared" si="5"/>
        <v>350</v>
      </c>
      <c r="CR9" s="67">
        <f t="shared" si="5"/>
        <v>350</v>
      </c>
      <c r="CS9" s="67">
        <f t="shared" si="5"/>
        <v>350</v>
      </c>
      <c r="CT9" s="67">
        <f t="shared" si="5"/>
        <v>350</v>
      </c>
      <c r="CU9" s="67">
        <f t="shared" si="5"/>
        <v>350</v>
      </c>
      <c r="CV9" s="67">
        <f t="shared" si="5"/>
        <v>350</v>
      </c>
      <c r="CW9" s="67">
        <f t="shared" si="5"/>
        <v>350</v>
      </c>
      <c r="CX9" s="67">
        <f t="shared" si="5"/>
        <v>350</v>
      </c>
      <c r="CY9" s="67">
        <f t="shared" si="5"/>
        <v>350</v>
      </c>
      <c r="CZ9" s="67">
        <f t="shared" si="5"/>
        <v>350</v>
      </c>
      <c r="DA9" s="67">
        <f t="shared" si="5"/>
        <v>350</v>
      </c>
      <c r="DB9" s="67">
        <f t="shared" si="5"/>
        <v>350</v>
      </c>
      <c r="DC9" s="67">
        <f t="shared" si="5"/>
        <v>350</v>
      </c>
      <c r="DD9" s="67">
        <f t="shared" si="5"/>
        <v>350</v>
      </c>
      <c r="DE9" s="67">
        <f t="shared" si="5"/>
        <v>350</v>
      </c>
      <c r="DF9" s="67">
        <f t="shared" si="5"/>
        <v>350</v>
      </c>
    </row>
    <row r="10" spans="1:110" ht="18" customHeight="1">
      <c r="A10" s="684" t="s">
        <v>31</v>
      </c>
      <c r="B10" s="684"/>
      <c r="C10" s="274"/>
      <c r="D10" s="274"/>
      <c r="E10" s="274"/>
      <c r="F10" s="696"/>
      <c r="G10" s="696"/>
      <c r="H10" s="701"/>
      <c r="J10" s="217" t="s">
        <v>280</v>
      </c>
      <c r="K10" s="33">
        <f aca="true" t="shared" si="6" ref="K10:AP10">SUM(K4:K7)-SUM(K8:K9)</f>
        <v>-400</v>
      </c>
      <c r="L10" s="33">
        <f t="shared" si="6"/>
        <v>-350</v>
      </c>
      <c r="M10" s="33">
        <f t="shared" si="6"/>
        <v>-350</v>
      </c>
      <c r="N10" s="33">
        <f t="shared" si="6"/>
        <v>-350</v>
      </c>
      <c r="O10" s="33">
        <f t="shared" si="6"/>
        <v>-350</v>
      </c>
      <c r="P10" s="33">
        <f t="shared" si="6"/>
        <v>-350</v>
      </c>
      <c r="Q10" s="33">
        <f t="shared" si="6"/>
        <v>-350</v>
      </c>
      <c r="R10" s="33">
        <f t="shared" si="6"/>
        <v>-350</v>
      </c>
      <c r="S10" s="33">
        <f t="shared" si="6"/>
        <v>-350</v>
      </c>
      <c r="T10" s="33">
        <f t="shared" si="6"/>
        <v>-350</v>
      </c>
      <c r="U10" s="33">
        <f t="shared" si="6"/>
        <v>-350</v>
      </c>
      <c r="V10" s="33">
        <f t="shared" si="6"/>
        <v>-350</v>
      </c>
      <c r="W10" s="33">
        <f t="shared" si="6"/>
        <v>-350</v>
      </c>
      <c r="X10" s="33">
        <f t="shared" si="6"/>
        <v>-350</v>
      </c>
      <c r="Y10" s="33">
        <f t="shared" si="6"/>
        <v>-350</v>
      </c>
      <c r="Z10" s="33">
        <f t="shared" si="6"/>
        <v>-350</v>
      </c>
      <c r="AA10" s="33">
        <f t="shared" si="6"/>
        <v>-350</v>
      </c>
      <c r="AB10" s="33">
        <f t="shared" si="6"/>
        <v>-350</v>
      </c>
      <c r="AC10" s="33">
        <f t="shared" si="6"/>
        <v>-350</v>
      </c>
      <c r="AD10" s="33">
        <f t="shared" si="6"/>
        <v>-350</v>
      </c>
      <c r="AE10" s="33">
        <f t="shared" si="6"/>
        <v>-350</v>
      </c>
      <c r="AF10" s="33">
        <f t="shared" si="6"/>
        <v>-350</v>
      </c>
      <c r="AG10" s="33">
        <f t="shared" si="6"/>
        <v>-350</v>
      </c>
      <c r="AH10" s="33">
        <f t="shared" si="6"/>
        <v>-350</v>
      </c>
      <c r="AI10" s="33">
        <f t="shared" si="6"/>
        <v>-350</v>
      </c>
      <c r="AJ10" s="33">
        <f t="shared" si="6"/>
        <v>-350</v>
      </c>
      <c r="AK10" s="33">
        <f t="shared" si="6"/>
        <v>-350</v>
      </c>
      <c r="AL10" s="33">
        <f t="shared" si="6"/>
        <v>-350</v>
      </c>
      <c r="AM10" s="33">
        <f t="shared" si="6"/>
        <v>-350</v>
      </c>
      <c r="AN10" s="33">
        <f t="shared" si="6"/>
        <v>-350</v>
      </c>
      <c r="AO10" s="33">
        <f t="shared" si="6"/>
        <v>-350</v>
      </c>
      <c r="AP10" s="33">
        <f t="shared" si="6"/>
        <v>-350</v>
      </c>
      <c r="AQ10" s="33">
        <f aca="true" t="shared" si="7" ref="AQ10:BV10">SUM(AQ4:AQ7)-SUM(AQ8:AQ9)</f>
        <v>-350</v>
      </c>
      <c r="AR10" s="33">
        <f t="shared" si="7"/>
        <v>-350</v>
      </c>
      <c r="AS10" s="33">
        <f t="shared" si="7"/>
        <v>-350</v>
      </c>
      <c r="AT10" s="33">
        <f t="shared" si="7"/>
        <v>-350</v>
      </c>
      <c r="AU10" s="33">
        <f t="shared" si="7"/>
        <v>-350</v>
      </c>
      <c r="AV10" s="33">
        <f t="shared" si="7"/>
        <v>-350</v>
      </c>
      <c r="AW10" s="33">
        <f t="shared" si="7"/>
        <v>-350</v>
      </c>
      <c r="AX10" s="33">
        <f t="shared" si="7"/>
        <v>-350</v>
      </c>
      <c r="AY10" s="33">
        <f t="shared" si="7"/>
        <v>-350</v>
      </c>
      <c r="AZ10" s="33">
        <f t="shared" si="7"/>
        <v>-350</v>
      </c>
      <c r="BA10" s="33">
        <f t="shared" si="7"/>
        <v>-350</v>
      </c>
      <c r="BB10" s="33">
        <f t="shared" si="7"/>
        <v>-350</v>
      </c>
      <c r="BC10" s="33">
        <f t="shared" si="7"/>
        <v>-350</v>
      </c>
      <c r="BD10" s="33">
        <f t="shared" si="7"/>
        <v>-350</v>
      </c>
      <c r="BE10" s="33">
        <f t="shared" si="7"/>
        <v>-350</v>
      </c>
      <c r="BF10" s="33">
        <f t="shared" si="7"/>
        <v>-350</v>
      </c>
      <c r="BG10" s="33">
        <f t="shared" si="7"/>
        <v>-350</v>
      </c>
      <c r="BH10" s="33">
        <f t="shared" si="7"/>
        <v>-350</v>
      </c>
      <c r="BI10" s="33">
        <f t="shared" si="7"/>
        <v>-350</v>
      </c>
      <c r="BJ10" s="33">
        <f t="shared" si="7"/>
        <v>-350</v>
      </c>
      <c r="BK10" s="33">
        <f t="shared" si="7"/>
        <v>-350</v>
      </c>
      <c r="BL10" s="33">
        <f t="shared" si="7"/>
        <v>-350</v>
      </c>
      <c r="BM10" s="33">
        <f t="shared" si="7"/>
        <v>-350</v>
      </c>
      <c r="BN10" s="33">
        <f t="shared" si="7"/>
        <v>-350</v>
      </c>
      <c r="BO10" s="33">
        <f t="shared" si="7"/>
        <v>-350</v>
      </c>
      <c r="BP10" s="33">
        <f t="shared" si="7"/>
        <v>-350</v>
      </c>
      <c r="BQ10" s="33">
        <f t="shared" si="7"/>
        <v>-350</v>
      </c>
      <c r="BR10" s="33">
        <f t="shared" si="7"/>
        <v>-350</v>
      </c>
      <c r="BS10" s="33">
        <f t="shared" si="7"/>
        <v>-350</v>
      </c>
      <c r="BT10" s="33">
        <f t="shared" si="7"/>
        <v>-350</v>
      </c>
      <c r="BU10" s="33">
        <f t="shared" si="7"/>
        <v>-350</v>
      </c>
      <c r="BV10" s="33">
        <f t="shared" si="7"/>
        <v>-350</v>
      </c>
      <c r="BW10" s="33">
        <f aca="true" t="shared" si="8" ref="BW10:DB10">SUM(BW4:BW7)-SUM(BW8:BW9)</f>
        <v>-350</v>
      </c>
      <c r="BX10" s="33">
        <f t="shared" si="8"/>
        <v>-350</v>
      </c>
      <c r="BY10" s="33">
        <f t="shared" si="8"/>
        <v>-350</v>
      </c>
      <c r="BZ10" s="33">
        <f t="shared" si="8"/>
        <v>-350</v>
      </c>
      <c r="CA10" s="33">
        <f t="shared" si="8"/>
        <v>-350</v>
      </c>
      <c r="CB10" s="33">
        <f t="shared" si="8"/>
        <v>-350</v>
      </c>
      <c r="CC10" s="33">
        <f t="shared" si="8"/>
        <v>-350</v>
      </c>
      <c r="CD10" s="33">
        <f t="shared" si="8"/>
        <v>-350</v>
      </c>
      <c r="CE10" s="33">
        <f t="shared" si="8"/>
        <v>-350</v>
      </c>
      <c r="CF10" s="33">
        <f t="shared" si="8"/>
        <v>-350</v>
      </c>
      <c r="CG10" s="33">
        <f t="shared" si="8"/>
        <v>-350</v>
      </c>
      <c r="CH10" s="33">
        <f t="shared" si="8"/>
        <v>-350</v>
      </c>
      <c r="CI10" s="33">
        <f t="shared" si="8"/>
        <v>-350</v>
      </c>
      <c r="CJ10" s="33">
        <f t="shared" si="8"/>
        <v>-350</v>
      </c>
      <c r="CK10" s="33">
        <f t="shared" si="8"/>
        <v>-350</v>
      </c>
      <c r="CL10" s="33">
        <f t="shared" si="8"/>
        <v>-350</v>
      </c>
      <c r="CM10" s="33">
        <f t="shared" si="8"/>
        <v>-350</v>
      </c>
      <c r="CN10" s="33">
        <f t="shared" si="8"/>
        <v>-350</v>
      </c>
      <c r="CO10" s="33">
        <f t="shared" si="8"/>
        <v>-350</v>
      </c>
      <c r="CP10" s="33">
        <f t="shared" si="8"/>
        <v>-350</v>
      </c>
      <c r="CQ10" s="33">
        <f t="shared" si="8"/>
        <v>-350</v>
      </c>
      <c r="CR10" s="33">
        <f t="shared" si="8"/>
        <v>-350</v>
      </c>
      <c r="CS10" s="33">
        <f t="shared" si="8"/>
        <v>-350</v>
      </c>
      <c r="CT10" s="33">
        <f t="shared" si="8"/>
        <v>-350</v>
      </c>
      <c r="CU10" s="33">
        <f t="shared" si="8"/>
        <v>-350</v>
      </c>
      <c r="CV10" s="33">
        <f t="shared" si="8"/>
        <v>-350</v>
      </c>
      <c r="CW10" s="33">
        <f t="shared" si="8"/>
        <v>-350</v>
      </c>
      <c r="CX10" s="33">
        <f t="shared" si="8"/>
        <v>-350</v>
      </c>
      <c r="CY10" s="33">
        <f t="shared" si="8"/>
        <v>-350</v>
      </c>
      <c r="CZ10" s="33">
        <f t="shared" si="8"/>
        <v>-350</v>
      </c>
      <c r="DA10" s="33">
        <f t="shared" si="8"/>
        <v>-350</v>
      </c>
      <c r="DB10" s="33">
        <f t="shared" si="8"/>
        <v>-350</v>
      </c>
      <c r="DC10" s="33">
        <f>SUM(DC4:DC7)-SUM(DC8:DC9)</f>
        <v>-350</v>
      </c>
      <c r="DD10" s="33">
        <f>SUM(DD4:DD7)-SUM(DD8:DD9)</f>
        <v>-350</v>
      </c>
      <c r="DE10" s="33">
        <f>SUM(DE4:DE7)-SUM(DE8:DE9)</f>
        <v>-350</v>
      </c>
      <c r="DF10" s="33">
        <f>SUM(DF4:DF7)-SUM(DF8:DF9)</f>
        <v>-350</v>
      </c>
    </row>
    <row r="11" spans="1:11" ht="18" customHeight="1">
      <c r="A11" s="11" t="s">
        <v>203</v>
      </c>
      <c r="B11" s="11">
        <v>1</v>
      </c>
      <c r="C11" s="11" t="s">
        <v>64</v>
      </c>
      <c r="D11" s="69">
        <v>50</v>
      </c>
      <c r="E11" s="63">
        <v>1</v>
      </c>
      <c r="F11" s="67">
        <f>E11*D11</f>
        <v>50</v>
      </c>
      <c r="G11" s="237">
        <f>F11</f>
        <v>50</v>
      </c>
      <c r="H11" s="151"/>
      <c r="K11" s="188"/>
    </row>
    <row r="12" spans="1:16" ht="18" customHeight="1">
      <c r="A12" s="87" t="s">
        <v>182</v>
      </c>
      <c r="B12" s="88"/>
      <c r="C12" s="164"/>
      <c r="D12" s="165"/>
      <c r="E12" s="164"/>
      <c r="F12" s="165">
        <f>SUM(F11:F11)</f>
        <v>50</v>
      </c>
      <c r="G12" s="238">
        <f>SUM(G11:G11)</f>
        <v>50</v>
      </c>
      <c r="H12" s="154"/>
      <c r="K12" s="188"/>
      <c r="M12" s="17" t="s">
        <v>421</v>
      </c>
      <c r="N12" s="6"/>
      <c r="O12" s="6"/>
      <c r="P12" s="6"/>
    </row>
    <row r="13" spans="1:14" ht="18" customHeight="1">
      <c r="A13" s="75"/>
      <c r="B13" s="34"/>
      <c r="C13" s="12"/>
      <c r="D13" s="12"/>
      <c r="E13" s="12"/>
      <c r="F13" s="76"/>
      <c r="G13" s="239"/>
      <c r="H13" s="151"/>
      <c r="J13" s="29" t="s">
        <v>291</v>
      </c>
      <c r="K13" s="153">
        <f>NPV('Farm &amp; Buffer Assumptions'!C74,K10:AD10)</f>
        <v>-4804.691143815611</v>
      </c>
      <c r="M13" s="222">
        <f>K4</f>
        <v>0</v>
      </c>
      <c r="N13" s="216" t="s">
        <v>43</v>
      </c>
    </row>
    <row r="14" spans="1:14" ht="18" customHeight="1">
      <c r="A14" s="684" t="s">
        <v>39</v>
      </c>
      <c r="B14" s="684"/>
      <c r="C14" s="274"/>
      <c r="D14" s="274"/>
      <c r="E14" s="274"/>
      <c r="F14" s="696"/>
      <c r="G14" s="696"/>
      <c r="H14" s="689"/>
      <c r="J14" s="29" t="s">
        <v>292</v>
      </c>
      <c r="K14" s="153">
        <f>NPV('Farm &amp; Buffer Assumptions'!C74,K10:AN10)</f>
        <v>-6100.288578309488</v>
      </c>
      <c r="M14" s="223">
        <f>NPV('Farm &amp; Buffer Assumptions'!C74,K5:N5)</f>
        <v>0</v>
      </c>
      <c r="N14" s="10" t="s">
        <v>338</v>
      </c>
    </row>
    <row r="15" spans="1:14" ht="32.25" customHeight="1">
      <c r="A15" s="11" t="s">
        <v>204</v>
      </c>
      <c r="B15" s="11" t="s">
        <v>205</v>
      </c>
      <c r="C15" s="11" t="s">
        <v>64</v>
      </c>
      <c r="D15" s="69">
        <f>Prices!C42</f>
        <v>350</v>
      </c>
      <c r="E15" s="63">
        <v>1</v>
      </c>
      <c r="F15" s="67">
        <f>E15*D15</f>
        <v>350</v>
      </c>
      <c r="G15" s="227">
        <f>F15/'Farm &amp; Buffer Assumptions'!C74</f>
        <v>8750</v>
      </c>
      <c r="H15" s="151" t="s">
        <v>206</v>
      </c>
      <c r="J15" s="29" t="s">
        <v>293</v>
      </c>
      <c r="K15" s="153">
        <f>NPV('Farm &amp; Buffer Assumptions'!C74,K10:AX10)</f>
        <v>-6975.5477822761795</v>
      </c>
      <c r="M15" s="224">
        <f>NPV('Farm &amp; Buffer Assumptions'!C74,K6:Y6)</f>
        <v>0</v>
      </c>
      <c r="N15" s="216" t="s">
        <v>234</v>
      </c>
    </row>
    <row r="16" spans="1:14" ht="18" customHeight="1">
      <c r="A16" s="166" t="s">
        <v>185</v>
      </c>
      <c r="B16" s="12"/>
      <c r="C16" s="12"/>
      <c r="D16" s="12"/>
      <c r="E16" s="12"/>
      <c r="F16" s="165">
        <f>SUM(F15:F15)</f>
        <v>350</v>
      </c>
      <c r="G16" s="238">
        <f>SUM(G15:G15)</f>
        <v>8750</v>
      </c>
      <c r="H16" s="151"/>
      <c r="J16" s="29" t="s">
        <v>294</v>
      </c>
      <c r="K16" s="153">
        <f>NPV('Farm &amp; Buffer Assumptions'!C74,K10:BH10)</f>
        <v>-7566.841538911067</v>
      </c>
      <c r="M16" s="223">
        <f>K7</f>
        <v>0</v>
      </c>
      <c r="N16" s="216" t="s">
        <v>86</v>
      </c>
    </row>
    <row r="17" spans="1:14" ht="18" customHeight="1">
      <c r="A17" s="11"/>
      <c r="B17" s="11"/>
      <c r="C17" s="11"/>
      <c r="D17" s="69"/>
      <c r="E17" s="63"/>
      <c r="F17" s="63"/>
      <c r="G17" s="237"/>
      <c r="H17" s="151"/>
      <c r="J17" s="29" t="s">
        <v>295</v>
      </c>
      <c r="K17" s="153">
        <f>NPV('Farm &amp; Buffer Assumptions'!C74,K10:BR10)</f>
        <v>-7966.298414144001</v>
      </c>
      <c r="M17" s="225">
        <f>K8</f>
        <v>50</v>
      </c>
      <c r="N17" s="193" t="s">
        <v>343</v>
      </c>
    </row>
    <row r="18" spans="1:14" ht="18" customHeight="1">
      <c r="A18" s="70" t="s">
        <v>186</v>
      </c>
      <c r="B18" s="70"/>
      <c r="C18" s="70"/>
      <c r="D18" s="72"/>
      <c r="E18" s="73"/>
      <c r="F18" s="73">
        <f>F12+F16</f>
        <v>400</v>
      </c>
      <c r="G18" s="240">
        <f>G12+G16</f>
        <v>8800</v>
      </c>
      <c r="H18" s="162"/>
      <c r="J18" s="29" t="s">
        <v>296</v>
      </c>
      <c r="K18" s="153">
        <f>NPV('Farm &amp; Buffer Assumptions'!C74,K10:CB10)</f>
        <v>-8236.157166042487</v>
      </c>
      <c r="M18" s="223">
        <f>NPV('Farm &amp; Buffer Assumptions'!C74,K9:DF9)</f>
        <v>8576.749649003184</v>
      </c>
      <c r="N18" t="s">
        <v>345</v>
      </c>
    </row>
    <row r="19" spans="1:13" ht="18" customHeight="1">
      <c r="A19" s="11"/>
      <c r="B19" s="11"/>
      <c r="C19" s="11"/>
      <c r="D19" s="11"/>
      <c r="E19" s="11"/>
      <c r="F19" s="67"/>
      <c r="G19" s="227"/>
      <c r="H19" s="151"/>
      <c r="J19" s="29" t="s">
        <v>297</v>
      </c>
      <c r="K19" s="153">
        <f>NPV('Farm &amp; Buffer Assumptions'!C74,K10:CL10)</f>
        <v>-8418.464069469155</v>
      </c>
      <c r="M19" s="223"/>
    </row>
    <row r="20" spans="1:14" ht="18" customHeight="1">
      <c r="A20" s="692" t="s">
        <v>312</v>
      </c>
      <c r="B20" s="692"/>
      <c r="C20" s="692"/>
      <c r="D20" s="692"/>
      <c r="E20" s="692"/>
      <c r="F20" s="694"/>
      <c r="G20" s="694">
        <f>G8-G18</f>
        <v>-8800</v>
      </c>
      <c r="H20" s="695"/>
      <c r="J20" s="29" t="s">
        <v>298</v>
      </c>
      <c r="K20" s="153">
        <f>NPV('Farm &amp; Buffer Assumptions'!C74,K10:CV10)</f>
        <v>-8541.6240811538</v>
      </c>
      <c r="M20" s="226">
        <f>SUM(M13:M16)-SUM(M17:M19)</f>
        <v>-8626.749649003184</v>
      </c>
      <c r="N20" t="s">
        <v>346</v>
      </c>
    </row>
    <row r="21" spans="1:11" ht="37.5" customHeight="1">
      <c r="A21" s="751" t="s">
        <v>344</v>
      </c>
      <c r="B21" s="752"/>
      <c r="C21" s="752"/>
      <c r="D21" s="752"/>
      <c r="E21" s="752"/>
      <c r="F21" s="752"/>
      <c r="G21" s="752"/>
      <c r="H21" s="752"/>
      <c r="J21" s="29" t="s">
        <v>299</v>
      </c>
      <c r="K21" s="153">
        <f>NPV('Farm &amp; Buffer Assumptions'!C74,K10:DF10)</f>
        <v>-8624.82657208011</v>
      </c>
    </row>
    <row r="22" spans="1:11" ht="27" customHeight="1">
      <c r="A22" s="754" t="s">
        <v>207</v>
      </c>
      <c r="B22" s="752"/>
      <c r="C22" s="752"/>
      <c r="D22" s="752"/>
      <c r="E22" s="752"/>
      <c r="F22" s="752"/>
      <c r="G22" s="752"/>
      <c r="H22" s="752"/>
      <c r="J22" t="s">
        <v>340</v>
      </c>
      <c r="K22" s="215">
        <f>K21-G20</f>
        <v>175.17342791988995</v>
      </c>
    </row>
    <row r="23" spans="1:8" ht="21" customHeight="1">
      <c r="A23" s="752" t="s">
        <v>188</v>
      </c>
      <c r="B23" s="752"/>
      <c r="C23" s="752"/>
      <c r="D23" s="752"/>
      <c r="E23" s="752"/>
      <c r="F23" s="752"/>
      <c r="G23" s="752"/>
      <c r="H23" s="752"/>
    </row>
    <row r="24" spans="1:8" ht="36.75" customHeight="1">
      <c r="A24" s="752" t="s">
        <v>190</v>
      </c>
      <c r="B24" s="752"/>
      <c r="C24" s="752"/>
      <c r="D24" s="752"/>
      <c r="E24" s="752"/>
      <c r="F24" s="752"/>
      <c r="G24" s="752"/>
      <c r="H24" s="752"/>
    </row>
    <row r="25" spans="1:11" ht="40.5" customHeight="1" thickBot="1">
      <c r="A25" s="1"/>
      <c r="B25" s="1"/>
      <c r="C25" s="1"/>
      <c r="D25" s="1"/>
      <c r="E25" s="1"/>
      <c r="K25" t="s">
        <v>290</v>
      </c>
    </row>
    <row r="26" spans="1:110" ht="39" customHeight="1" thickBot="1">
      <c r="A26" s="477" t="s">
        <v>348</v>
      </c>
      <c r="B26" s="474" t="s">
        <v>176</v>
      </c>
      <c r="C26" s="475" t="s">
        <v>0</v>
      </c>
      <c r="D26" s="476" t="s">
        <v>11</v>
      </c>
      <c r="E26" s="476" t="s">
        <v>22</v>
      </c>
      <c r="F26" s="476" t="s">
        <v>18</v>
      </c>
      <c r="G26" s="476" t="s">
        <v>177</v>
      </c>
      <c r="H26" s="475" t="s">
        <v>178</v>
      </c>
      <c r="J26" s="205" t="s">
        <v>278</v>
      </c>
      <c r="K26" s="11">
        <v>1</v>
      </c>
      <c r="L26" s="11">
        <v>2</v>
      </c>
      <c r="M26" s="11">
        <v>3</v>
      </c>
      <c r="N26" s="11">
        <v>4</v>
      </c>
      <c r="O26" s="11">
        <v>5</v>
      </c>
      <c r="P26" s="11">
        <v>6</v>
      </c>
      <c r="Q26" s="11">
        <v>7</v>
      </c>
      <c r="R26" s="11">
        <v>8</v>
      </c>
      <c r="S26" s="11">
        <v>9</v>
      </c>
      <c r="T26" s="11">
        <v>10</v>
      </c>
      <c r="U26" s="11">
        <v>11</v>
      </c>
      <c r="V26" s="11">
        <v>12</v>
      </c>
      <c r="W26" s="11">
        <v>13</v>
      </c>
      <c r="X26" s="11">
        <v>14</v>
      </c>
      <c r="Y26" s="11">
        <v>15</v>
      </c>
      <c r="Z26" s="179">
        <v>16</v>
      </c>
      <c r="AA26" s="179">
        <v>17</v>
      </c>
      <c r="AB26" s="179">
        <v>18</v>
      </c>
      <c r="AC26" s="179">
        <v>19</v>
      </c>
      <c r="AD26" s="179">
        <v>20</v>
      </c>
      <c r="AE26" s="179">
        <v>21</v>
      </c>
      <c r="AF26" s="179">
        <v>22</v>
      </c>
      <c r="AG26" s="179">
        <v>23</v>
      </c>
      <c r="AH26" s="179">
        <v>24</v>
      </c>
      <c r="AI26" s="179">
        <v>25</v>
      </c>
      <c r="AJ26" s="179">
        <v>26</v>
      </c>
      <c r="AK26" s="179">
        <v>27</v>
      </c>
      <c r="AL26" s="179">
        <v>28</v>
      </c>
      <c r="AM26" s="179">
        <v>29</v>
      </c>
      <c r="AN26" s="179">
        <v>30</v>
      </c>
      <c r="AO26" s="179">
        <v>31</v>
      </c>
      <c r="AP26" s="179">
        <v>32</v>
      </c>
      <c r="AQ26" s="179">
        <v>33</v>
      </c>
      <c r="AR26" s="179">
        <v>34</v>
      </c>
      <c r="AS26" s="179">
        <v>35</v>
      </c>
      <c r="AT26" s="179">
        <v>36</v>
      </c>
      <c r="AU26" s="179">
        <v>37</v>
      </c>
      <c r="AV26" s="179">
        <v>38</v>
      </c>
      <c r="AW26" s="179">
        <v>39</v>
      </c>
      <c r="AX26" s="179">
        <v>40</v>
      </c>
      <c r="AY26" s="179">
        <v>41</v>
      </c>
      <c r="AZ26" s="179">
        <v>42</v>
      </c>
      <c r="BA26" s="179">
        <v>43</v>
      </c>
      <c r="BB26" s="179">
        <v>44</v>
      </c>
      <c r="BC26" s="179">
        <v>45</v>
      </c>
      <c r="BD26" s="179">
        <v>46</v>
      </c>
      <c r="BE26" s="179">
        <v>47</v>
      </c>
      <c r="BF26" s="179">
        <v>48</v>
      </c>
      <c r="BG26" s="179">
        <v>49</v>
      </c>
      <c r="BH26" s="179">
        <v>50</v>
      </c>
      <c r="BI26" s="179">
        <v>51</v>
      </c>
      <c r="BJ26" s="179">
        <v>52</v>
      </c>
      <c r="BK26" s="179">
        <v>53</v>
      </c>
      <c r="BL26" s="179">
        <v>54</v>
      </c>
      <c r="BM26" s="179">
        <v>55</v>
      </c>
      <c r="BN26" s="179">
        <v>56</v>
      </c>
      <c r="BO26" s="179">
        <v>57</v>
      </c>
      <c r="BP26" s="179">
        <v>58</v>
      </c>
      <c r="BQ26" s="179">
        <v>59</v>
      </c>
      <c r="BR26" s="179">
        <v>60</v>
      </c>
      <c r="BS26" s="179">
        <v>61</v>
      </c>
      <c r="BT26" s="179">
        <v>62</v>
      </c>
      <c r="BU26" s="179">
        <v>63</v>
      </c>
      <c r="BV26" s="179">
        <v>64</v>
      </c>
      <c r="BW26" s="179">
        <v>65</v>
      </c>
      <c r="BX26" s="179">
        <v>66</v>
      </c>
      <c r="BY26" s="179">
        <v>67</v>
      </c>
      <c r="BZ26" s="179">
        <v>68</v>
      </c>
      <c r="CA26" s="179">
        <v>69</v>
      </c>
      <c r="CB26" s="179">
        <v>70</v>
      </c>
      <c r="CC26" s="179">
        <v>71</v>
      </c>
      <c r="CD26" s="179">
        <v>72</v>
      </c>
      <c r="CE26" s="179">
        <v>73</v>
      </c>
      <c r="CF26" s="179">
        <v>74</v>
      </c>
      <c r="CG26" s="179">
        <v>75</v>
      </c>
      <c r="CH26" s="179">
        <v>76</v>
      </c>
      <c r="CI26" s="179">
        <v>77</v>
      </c>
      <c r="CJ26" s="179">
        <v>78</v>
      </c>
      <c r="CK26" s="179">
        <v>79</v>
      </c>
      <c r="CL26" s="179">
        <v>80</v>
      </c>
      <c r="CM26" s="179">
        <v>81</v>
      </c>
      <c r="CN26" s="179">
        <v>82</v>
      </c>
      <c r="CO26" s="179">
        <v>83</v>
      </c>
      <c r="CP26" s="179">
        <v>84</v>
      </c>
      <c r="CQ26" s="179">
        <v>85</v>
      </c>
      <c r="CR26" s="179">
        <v>86</v>
      </c>
      <c r="CS26" s="179">
        <v>87</v>
      </c>
      <c r="CT26" s="179">
        <v>88</v>
      </c>
      <c r="CU26" s="179">
        <v>89</v>
      </c>
      <c r="CV26" s="179">
        <v>90</v>
      </c>
      <c r="CW26" s="179">
        <v>91</v>
      </c>
      <c r="CX26" s="179">
        <v>92</v>
      </c>
      <c r="CY26" s="179">
        <v>93</v>
      </c>
      <c r="CZ26" s="179">
        <v>94</v>
      </c>
      <c r="DA26" s="179">
        <v>95</v>
      </c>
      <c r="DB26" s="179">
        <v>96</v>
      </c>
      <c r="DC26" s="179">
        <v>97</v>
      </c>
      <c r="DD26" s="179">
        <v>98</v>
      </c>
      <c r="DE26" s="179">
        <v>99</v>
      </c>
      <c r="DF26" s="179">
        <v>100</v>
      </c>
    </row>
    <row r="27" spans="1:110" ht="18" customHeight="1">
      <c r="A27" s="680" t="s">
        <v>42</v>
      </c>
      <c r="B27" s="681"/>
      <c r="C27" s="646"/>
      <c r="D27" s="647"/>
      <c r="E27" s="647"/>
      <c r="F27" s="647"/>
      <c r="G27" s="647"/>
      <c r="H27" s="704"/>
      <c r="J27" s="11" t="s">
        <v>279</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row>
    <row r="28" spans="1:110" ht="18" customHeight="1">
      <c r="A28" s="13" t="s">
        <v>43</v>
      </c>
      <c r="B28" s="13">
        <v>1</v>
      </c>
      <c r="C28" s="13" t="s">
        <v>64</v>
      </c>
      <c r="D28" s="11">
        <f>IF('Farm &amp; Buffer Assumptions'!C104=1,F37*'Farm &amp; Buffer Assumptions'!C92,0)</f>
        <v>0</v>
      </c>
      <c r="E28" s="167">
        <v>1</v>
      </c>
      <c r="F28" s="168">
        <f>E28*D28</f>
        <v>0</v>
      </c>
      <c r="G28" s="231">
        <f>F28</f>
        <v>0</v>
      </c>
      <c r="H28" s="151"/>
      <c r="J28" s="11" t="s">
        <v>283</v>
      </c>
      <c r="K28" s="67">
        <f>F28</f>
        <v>0</v>
      </c>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row>
    <row r="29" spans="1:110" ht="18" customHeight="1">
      <c r="A29" s="13" t="s">
        <v>237</v>
      </c>
      <c r="B29" s="11">
        <f>'Farm &amp; Buffer Assumptions'!C95</f>
        <v>5</v>
      </c>
      <c r="C29" s="11" t="s">
        <v>64</v>
      </c>
      <c r="D29" s="11">
        <f>IF('Farm &amp; Buffer Assumptions'!C105=1,F41*'Farm &amp; Buffer Assumptions'!C93,0)</f>
        <v>0</v>
      </c>
      <c r="E29" s="63">
        <v>1</v>
      </c>
      <c r="F29" s="67">
        <f>E29*D29</f>
        <v>0</v>
      </c>
      <c r="G29" s="227">
        <f>-PV('Farm &amp; Buffer Assumptions'!C74,B29,F29)</f>
        <v>0</v>
      </c>
      <c r="H29" s="151"/>
      <c r="J29" s="11" t="s">
        <v>284</v>
      </c>
      <c r="K29" s="11">
        <v>0</v>
      </c>
      <c r="L29" s="67">
        <f aca="true" t="shared" si="9" ref="L29:AD29">IF(L26=($B$29+1),$F$29,IF(L26&lt;=$B$29,$F$29,0))</f>
        <v>0</v>
      </c>
      <c r="M29" s="67">
        <f t="shared" si="9"/>
        <v>0</v>
      </c>
      <c r="N29" s="67">
        <f t="shared" si="9"/>
        <v>0</v>
      </c>
      <c r="O29" s="67">
        <f t="shared" si="9"/>
        <v>0</v>
      </c>
      <c r="P29" s="67">
        <f t="shared" si="9"/>
        <v>0</v>
      </c>
      <c r="Q29" s="67">
        <f t="shared" si="9"/>
        <v>0</v>
      </c>
      <c r="R29" s="67">
        <f t="shared" si="9"/>
        <v>0</v>
      </c>
      <c r="S29" s="67">
        <f t="shared" si="9"/>
        <v>0</v>
      </c>
      <c r="T29" s="67">
        <f t="shared" si="9"/>
        <v>0</v>
      </c>
      <c r="U29" s="67">
        <f t="shared" si="9"/>
        <v>0</v>
      </c>
      <c r="V29" s="67">
        <f t="shared" si="9"/>
        <v>0</v>
      </c>
      <c r="W29" s="67">
        <f t="shared" si="9"/>
        <v>0</v>
      </c>
      <c r="X29" s="67">
        <f t="shared" si="9"/>
        <v>0</v>
      </c>
      <c r="Y29" s="67">
        <f t="shared" si="9"/>
        <v>0</v>
      </c>
      <c r="Z29" s="67">
        <f t="shared" si="9"/>
        <v>0</v>
      </c>
      <c r="AA29" s="67">
        <f t="shared" si="9"/>
        <v>0</v>
      </c>
      <c r="AB29" s="67">
        <f t="shared" si="9"/>
        <v>0</v>
      </c>
      <c r="AC29" s="67">
        <f t="shared" si="9"/>
        <v>0</v>
      </c>
      <c r="AD29" s="67">
        <f t="shared" si="9"/>
        <v>0</v>
      </c>
      <c r="AE29" s="67">
        <f aca="true" t="shared" si="10" ref="AE29:BL29">IF(AE26=($B$29+1),$F$29,IF(AE26&lt;=$B$29,$F$29,0))</f>
        <v>0</v>
      </c>
      <c r="AF29" s="67">
        <f t="shared" si="10"/>
        <v>0</v>
      </c>
      <c r="AG29" s="67">
        <f t="shared" si="10"/>
        <v>0</v>
      </c>
      <c r="AH29" s="67">
        <f t="shared" si="10"/>
        <v>0</v>
      </c>
      <c r="AI29" s="67">
        <f t="shared" si="10"/>
        <v>0</v>
      </c>
      <c r="AJ29" s="67">
        <f t="shared" si="10"/>
        <v>0</v>
      </c>
      <c r="AK29" s="67">
        <f t="shared" si="10"/>
        <v>0</v>
      </c>
      <c r="AL29" s="67">
        <f t="shared" si="10"/>
        <v>0</v>
      </c>
      <c r="AM29" s="67">
        <f t="shared" si="10"/>
        <v>0</v>
      </c>
      <c r="AN29" s="67">
        <f t="shared" si="10"/>
        <v>0</v>
      </c>
      <c r="AO29" s="67">
        <f t="shared" si="10"/>
        <v>0</v>
      </c>
      <c r="AP29" s="67">
        <f t="shared" si="10"/>
        <v>0</v>
      </c>
      <c r="AQ29" s="67">
        <f t="shared" si="10"/>
        <v>0</v>
      </c>
      <c r="AR29" s="67">
        <f t="shared" si="10"/>
        <v>0</v>
      </c>
      <c r="AS29" s="67">
        <f t="shared" si="10"/>
        <v>0</v>
      </c>
      <c r="AT29" s="67">
        <f t="shared" si="10"/>
        <v>0</v>
      </c>
      <c r="AU29" s="67">
        <f t="shared" si="10"/>
        <v>0</v>
      </c>
      <c r="AV29" s="67">
        <f t="shared" si="10"/>
        <v>0</v>
      </c>
      <c r="AW29" s="67">
        <f t="shared" si="10"/>
        <v>0</v>
      </c>
      <c r="AX29" s="67">
        <f t="shared" si="10"/>
        <v>0</v>
      </c>
      <c r="AY29" s="67">
        <f t="shared" si="10"/>
        <v>0</v>
      </c>
      <c r="AZ29" s="67">
        <f t="shared" si="10"/>
        <v>0</v>
      </c>
      <c r="BA29" s="67">
        <f t="shared" si="10"/>
        <v>0</v>
      </c>
      <c r="BB29" s="67">
        <f t="shared" si="10"/>
        <v>0</v>
      </c>
      <c r="BC29" s="67">
        <f t="shared" si="10"/>
        <v>0</v>
      </c>
      <c r="BD29" s="67">
        <f t="shared" si="10"/>
        <v>0</v>
      </c>
      <c r="BE29" s="67">
        <f t="shared" si="10"/>
        <v>0</v>
      </c>
      <c r="BF29" s="67">
        <f t="shared" si="10"/>
        <v>0</v>
      </c>
      <c r="BG29" s="67">
        <f t="shared" si="10"/>
        <v>0</v>
      </c>
      <c r="BH29" s="67">
        <f t="shared" si="10"/>
        <v>0</v>
      </c>
      <c r="BI29" s="67">
        <f t="shared" si="10"/>
        <v>0</v>
      </c>
      <c r="BJ29" s="67">
        <f t="shared" si="10"/>
        <v>0</v>
      </c>
      <c r="BK29" s="67">
        <f t="shared" si="10"/>
        <v>0</v>
      </c>
      <c r="BL29" s="67">
        <f t="shared" si="10"/>
        <v>0</v>
      </c>
      <c r="BM29" s="67">
        <f aca="true" t="shared" si="11" ref="BM29:DF29">IF(BM26=($B$29+1),$F$29,IF(BM26&lt;=$B$29,$F$29,0))</f>
        <v>0</v>
      </c>
      <c r="BN29" s="67">
        <f t="shared" si="11"/>
        <v>0</v>
      </c>
      <c r="BO29" s="67">
        <f t="shared" si="11"/>
        <v>0</v>
      </c>
      <c r="BP29" s="67">
        <f t="shared" si="11"/>
        <v>0</v>
      </c>
      <c r="BQ29" s="67">
        <f t="shared" si="11"/>
        <v>0</v>
      </c>
      <c r="BR29" s="67">
        <f t="shared" si="11"/>
        <v>0</v>
      </c>
      <c r="BS29" s="67">
        <f t="shared" si="11"/>
        <v>0</v>
      </c>
      <c r="BT29" s="67">
        <f t="shared" si="11"/>
        <v>0</v>
      </c>
      <c r="BU29" s="67">
        <f t="shared" si="11"/>
        <v>0</v>
      </c>
      <c r="BV29" s="67">
        <f t="shared" si="11"/>
        <v>0</v>
      </c>
      <c r="BW29" s="67">
        <f t="shared" si="11"/>
        <v>0</v>
      </c>
      <c r="BX29" s="67">
        <f t="shared" si="11"/>
        <v>0</v>
      </c>
      <c r="BY29" s="67">
        <f t="shared" si="11"/>
        <v>0</v>
      </c>
      <c r="BZ29" s="67">
        <f t="shared" si="11"/>
        <v>0</v>
      </c>
      <c r="CA29" s="67">
        <f t="shared" si="11"/>
        <v>0</v>
      </c>
      <c r="CB29" s="67">
        <f t="shared" si="11"/>
        <v>0</v>
      </c>
      <c r="CC29" s="67">
        <f t="shared" si="11"/>
        <v>0</v>
      </c>
      <c r="CD29" s="67">
        <f t="shared" si="11"/>
        <v>0</v>
      </c>
      <c r="CE29" s="67">
        <f t="shared" si="11"/>
        <v>0</v>
      </c>
      <c r="CF29" s="67">
        <f t="shared" si="11"/>
        <v>0</v>
      </c>
      <c r="CG29" s="67">
        <f t="shared" si="11"/>
        <v>0</v>
      </c>
      <c r="CH29" s="67">
        <f t="shared" si="11"/>
        <v>0</v>
      </c>
      <c r="CI29" s="67">
        <f t="shared" si="11"/>
        <v>0</v>
      </c>
      <c r="CJ29" s="67">
        <f t="shared" si="11"/>
        <v>0</v>
      </c>
      <c r="CK29" s="67">
        <f t="shared" si="11"/>
        <v>0</v>
      </c>
      <c r="CL29" s="67">
        <f t="shared" si="11"/>
        <v>0</v>
      </c>
      <c r="CM29" s="67">
        <f t="shared" si="11"/>
        <v>0</v>
      </c>
      <c r="CN29" s="67">
        <f t="shared" si="11"/>
        <v>0</v>
      </c>
      <c r="CO29" s="67">
        <f t="shared" si="11"/>
        <v>0</v>
      </c>
      <c r="CP29" s="67">
        <f t="shared" si="11"/>
        <v>0</v>
      </c>
      <c r="CQ29" s="67">
        <f t="shared" si="11"/>
        <v>0</v>
      </c>
      <c r="CR29" s="67">
        <f t="shared" si="11"/>
        <v>0</v>
      </c>
      <c r="CS29" s="67">
        <f t="shared" si="11"/>
        <v>0</v>
      </c>
      <c r="CT29" s="67">
        <f t="shared" si="11"/>
        <v>0</v>
      </c>
      <c r="CU29" s="67">
        <f t="shared" si="11"/>
        <v>0</v>
      </c>
      <c r="CV29" s="67">
        <f t="shared" si="11"/>
        <v>0</v>
      </c>
      <c r="CW29" s="67">
        <f t="shared" si="11"/>
        <v>0</v>
      </c>
      <c r="CX29" s="67">
        <f t="shared" si="11"/>
        <v>0</v>
      </c>
      <c r="CY29" s="67">
        <f t="shared" si="11"/>
        <v>0</v>
      </c>
      <c r="CZ29" s="67">
        <f t="shared" si="11"/>
        <v>0</v>
      </c>
      <c r="DA29" s="67">
        <f t="shared" si="11"/>
        <v>0</v>
      </c>
      <c r="DB29" s="67">
        <f t="shared" si="11"/>
        <v>0</v>
      </c>
      <c r="DC29" s="67">
        <f t="shared" si="11"/>
        <v>0</v>
      </c>
      <c r="DD29" s="67">
        <f t="shared" si="11"/>
        <v>0</v>
      </c>
      <c r="DE29" s="67">
        <f t="shared" si="11"/>
        <v>0</v>
      </c>
      <c r="DF29" s="67">
        <f t="shared" si="11"/>
        <v>0</v>
      </c>
    </row>
    <row r="30" spans="1:110" ht="18" customHeight="1">
      <c r="A30" s="13" t="s">
        <v>234</v>
      </c>
      <c r="B30" s="13">
        <f>'Farm &amp; Buffer Assumptions'!C89</f>
        <v>15</v>
      </c>
      <c r="C30" s="13" t="s">
        <v>64</v>
      </c>
      <c r="D30" s="11">
        <f>IF('Farm &amp; Buffer Assumptions'!C102=1,Prices!C29*'Farm &amp; Buffer Assumptions'!C90,0)</f>
        <v>0</v>
      </c>
      <c r="E30" s="167">
        <v>1</v>
      </c>
      <c r="F30" s="168">
        <f>E30*D30</f>
        <v>0</v>
      </c>
      <c r="G30" s="227">
        <f>-PV('Farm &amp; Buffer Assumptions'!C74,B30,F30)</f>
        <v>0</v>
      </c>
      <c r="H30" s="151"/>
      <c r="J30" s="11" t="s">
        <v>285</v>
      </c>
      <c r="K30" s="67">
        <f>IF(K26&lt;=$B$30,$F$30,0)</f>
        <v>0</v>
      </c>
      <c r="L30" s="67">
        <f aca="true" t="shared" si="12" ref="L30:AD30">IF(L26&lt;=$B$30,$F$30,0)</f>
        <v>0</v>
      </c>
      <c r="M30" s="67">
        <f t="shared" si="12"/>
        <v>0</v>
      </c>
      <c r="N30" s="67">
        <f t="shared" si="12"/>
        <v>0</v>
      </c>
      <c r="O30" s="67">
        <f t="shared" si="12"/>
        <v>0</v>
      </c>
      <c r="P30" s="67">
        <f t="shared" si="12"/>
        <v>0</v>
      </c>
      <c r="Q30" s="67">
        <f t="shared" si="12"/>
        <v>0</v>
      </c>
      <c r="R30" s="67">
        <f t="shared" si="12"/>
        <v>0</v>
      </c>
      <c r="S30" s="67">
        <f t="shared" si="12"/>
        <v>0</v>
      </c>
      <c r="T30" s="67">
        <f t="shared" si="12"/>
        <v>0</v>
      </c>
      <c r="U30" s="67">
        <f t="shared" si="12"/>
        <v>0</v>
      </c>
      <c r="V30" s="67">
        <f t="shared" si="12"/>
        <v>0</v>
      </c>
      <c r="W30" s="67">
        <f t="shared" si="12"/>
        <v>0</v>
      </c>
      <c r="X30" s="67">
        <f t="shared" si="12"/>
        <v>0</v>
      </c>
      <c r="Y30" s="67">
        <f t="shared" si="12"/>
        <v>0</v>
      </c>
      <c r="Z30" s="67">
        <f t="shared" si="12"/>
        <v>0</v>
      </c>
      <c r="AA30" s="67">
        <f t="shared" si="12"/>
        <v>0</v>
      </c>
      <c r="AB30" s="67">
        <f t="shared" si="12"/>
        <v>0</v>
      </c>
      <c r="AC30" s="67">
        <f t="shared" si="12"/>
        <v>0</v>
      </c>
      <c r="AD30" s="67">
        <f t="shared" si="12"/>
        <v>0</v>
      </c>
      <c r="AE30" s="67">
        <f aca="true" t="shared" si="13" ref="AE30:BL30">IF(AE26&lt;=$B$30,$F$30,0)</f>
        <v>0</v>
      </c>
      <c r="AF30" s="67">
        <f t="shared" si="13"/>
        <v>0</v>
      </c>
      <c r="AG30" s="67">
        <f t="shared" si="13"/>
        <v>0</v>
      </c>
      <c r="AH30" s="67">
        <f t="shared" si="13"/>
        <v>0</v>
      </c>
      <c r="AI30" s="67">
        <f t="shared" si="13"/>
        <v>0</v>
      </c>
      <c r="AJ30" s="67">
        <f t="shared" si="13"/>
        <v>0</v>
      </c>
      <c r="AK30" s="67">
        <f t="shared" si="13"/>
        <v>0</v>
      </c>
      <c r="AL30" s="67">
        <f t="shared" si="13"/>
        <v>0</v>
      </c>
      <c r="AM30" s="67">
        <f t="shared" si="13"/>
        <v>0</v>
      </c>
      <c r="AN30" s="67">
        <f t="shared" si="13"/>
        <v>0</v>
      </c>
      <c r="AO30" s="67">
        <f t="shared" si="13"/>
        <v>0</v>
      </c>
      <c r="AP30" s="67">
        <f t="shared" si="13"/>
        <v>0</v>
      </c>
      <c r="AQ30" s="67">
        <f t="shared" si="13"/>
        <v>0</v>
      </c>
      <c r="AR30" s="67">
        <f t="shared" si="13"/>
        <v>0</v>
      </c>
      <c r="AS30" s="67">
        <f t="shared" si="13"/>
        <v>0</v>
      </c>
      <c r="AT30" s="67">
        <f t="shared" si="13"/>
        <v>0</v>
      </c>
      <c r="AU30" s="67">
        <f t="shared" si="13"/>
        <v>0</v>
      </c>
      <c r="AV30" s="67">
        <f t="shared" si="13"/>
        <v>0</v>
      </c>
      <c r="AW30" s="67">
        <f t="shared" si="13"/>
        <v>0</v>
      </c>
      <c r="AX30" s="67">
        <f t="shared" si="13"/>
        <v>0</v>
      </c>
      <c r="AY30" s="67">
        <f t="shared" si="13"/>
        <v>0</v>
      </c>
      <c r="AZ30" s="67">
        <f t="shared" si="13"/>
        <v>0</v>
      </c>
      <c r="BA30" s="67">
        <f t="shared" si="13"/>
        <v>0</v>
      </c>
      <c r="BB30" s="67">
        <f t="shared" si="13"/>
        <v>0</v>
      </c>
      <c r="BC30" s="67">
        <f t="shared" si="13"/>
        <v>0</v>
      </c>
      <c r="BD30" s="67">
        <f t="shared" si="13"/>
        <v>0</v>
      </c>
      <c r="BE30" s="67">
        <f t="shared" si="13"/>
        <v>0</v>
      </c>
      <c r="BF30" s="67">
        <f t="shared" si="13"/>
        <v>0</v>
      </c>
      <c r="BG30" s="67">
        <f t="shared" si="13"/>
        <v>0</v>
      </c>
      <c r="BH30" s="67">
        <f t="shared" si="13"/>
        <v>0</v>
      </c>
      <c r="BI30" s="67">
        <f t="shared" si="13"/>
        <v>0</v>
      </c>
      <c r="BJ30" s="67">
        <f t="shared" si="13"/>
        <v>0</v>
      </c>
      <c r="BK30" s="67">
        <f t="shared" si="13"/>
        <v>0</v>
      </c>
      <c r="BL30" s="67">
        <f t="shared" si="13"/>
        <v>0</v>
      </c>
      <c r="BM30" s="67">
        <f aca="true" t="shared" si="14" ref="BM30:DF30">IF(BM26&lt;=$B$30,$F$30,0)</f>
        <v>0</v>
      </c>
      <c r="BN30" s="67">
        <f t="shared" si="14"/>
        <v>0</v>
      </c>
      <c r="BO30" s="67">
        <f t="shared" si="14"/>
        <v>0</v>
      </c>
      <c r="BP30" s="67">
        <f t="shared" si="14"/>
        <v>0</v>
      </c>
      <c r="BQ30" s="67">
        <f t="shared" si="14"/>
        <v>0</v>
      </c>
      <c r="BR30" s="67">
        <f t="shared" si="14"/>
        <v>0</v>
      </c>
      <c r="BS30" s="67">
        <f t="shared" si="14"/>
        <v>0</v>
      </c>
      <c r="BT30" s="67">
        <f t="shared" si="14"/>
        <v>0</v>
      </c>
      <c r="BU30" s="67">
        <f t="shared" si="14"/>
        <v>0</v>
      </c>
      <c r="BV30" s="67">
        <f t="shared" si="14"/>
        <v>0</v>
      </c>
      <c r="BW30" s="67">
        <f t="shared" si="14"/>
        <v>0</v>
      </c>
      <c r="BX30" s="67">
        <f t="shared" si="14"/>
        <v>0</v>
      </c>
      <c r="BY30" s="67">
        <f t="shared" si="14"/>
        <v>0</v>
      </c>
      <c r="BZ30" s="67">
        <f t="shared" si="14"/>
        <v>0</v>
      </c>
      <c r="CA30" s="67">
        <f t="shared" si="14"/>
        <v>0</v>
      </c>
      <c r="CB30" s="67">
        <f t="shared" si="14"/>
        <v>0</v>
      </c>
      <c r="CC30" s="67">
        <f t="shared" si="14"/>
        <v>0</v>
      </c>
      <c r="CD30" s="67">
        <f t="shared" si="14"/>
        <v>0</v>
      </c>
      <c r="CE30" s="67">
        <f t="shared" si="14"/>
        <v>0</v>
      </c>
      <c r="CF30" s="67">
        <f t="shared" si="14"/>
        <v>0</v>
      </c>
      <c r="CG30" s="67">
        <f t="shared" si="14"/>
        <v>0</v>
      </c>
      <c r="CH30" s="67">
        <f t="shared" si="14"/>
        <v>0</v>
      </c>
      <c r="CI30" s="67">
        <f t="shared" si="14"/>
        <v>0</v>
      </c>
      <c r="CJ30" s="67">
        <f t="shared" si="14"/>
        <v>0</v>
      </c>
      <c r="CK30" s="67">
        <f t="shared" si="14"/>
        <v>0</v>
      </c>
      <c r="CL30" s="67">
        <f t="shared" si="14"/>
        <v>0</v>
      </c>
      <c r="CM30" s="67">
        <f t="shared" si="14"/>
        <v>0</v>
      </c>
      <c r="CN30" s="67">
        <f t="shared" si="14"/>
        <v>0</v>
      </c>
      <c r="CO30" s="67">
        <f t="shared" si="14"/>
        <v>0</v>
      </c>
      <c r="CP30" s="67">
        <f t="shared" si="14"/>
        <v>0</v>
      </c>
      <c r="CQ30" s="67">
        <f t="shared" si="14"/>
        <v>0</v>
      </c>
      <c r="CR30" s="67">
        <f t="shared" si="14"/>
        <v>0</v>
      </c>
      <c r="CS30" s="67">
        <f t="shared" si="14"/>
        <v>0</v>
      </c>
      <c r="CT30" s="67">
        <f t="shared" si="14"/>
        <v>0</v>
      </c>
      <c r="CU30" s="67">
        <f t="shared" si="14"/>
        <v>0</v>
      </c>
      <c r="CV30" s="67">
        <f t="shared" si="14"/>
        <v>0</v>
      </c>
      <c r="CW30" s="67">
        <f t="shared" si="14"/>
        <v>0</v>
      </c>
      <c r="CX30" s="67">
        <f t="shared" si="14"/>
        <v>0</v>
      </c>
      <c r="CY30" s="67">
        <f t="shared" si="14"/>
        <v>0</v>
      </c>
      <c r="CZ30" s="67">
        <f t="shared" si="14"/>
        <v>0</v>
      </c>
      <c r="DA30" s="67">
        <f t="shared" si="14"/>
        <v>0</v>
      </c>
      <c r="DB30" s="67">
        <f t="shared" si="14"/>
        <v>0</v>
      </c>
      <c r="DC30" s="67">
        <f t="shared" si="14"/>
        <v>0</v>
      </c>
      <c r="DD30" s="67">
        <f t="shared" si="14"/>
        <v>0</v>
      </c>
      <c r="DE30" s="67">
        <f t="shared" si="14"/>
        <v>0</v>
      </c>
      <c r="DF30" s="67">
        <f t="shared" si="14"/>
        <v>0</v>
      </c>
    </row>
    <row r="31" spans="1:110" ht="18" customHeight="1">
      <c r="A31" s="13" t="s">
        <v>86</v>
      </c>
      <c r="B31" s="13">
        <v>1</v>
      </c>
      <c r="C31" s="13" t="s">
        <v>64</v>
      </c>
      <c r="D31" s="11">
        <f>IF('Farm &amp; Buffer Assumptions'!C103=1,'Farm &amp; Buffer Assumptions'!C91,0)</f>
        <v>0</v>
      </c>
      <c r="E31" s="167">
        <v>1</v>
      </c>
      <c r="F31" s="168">
        <f>E31*D31</f>
        <v>0</v>
      </c>
      <c r="G31" s="231">
        <f>F31</f>
        <v>0</v>
      </c>
      <c r="H31" s="151"/>
      <c r="J31" s="11" t="s">
        <v>286</v>
      </c>
      <c r="K31" s="67">
        <f>F31</f>
        <v>0</v>
      </c>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row>
    <row r="32" spans="1:110" ht="18" customHeight="1">
      <c r="A32" s="70" t="s">
        <v>98</v>
      </c>
      <c r="B32" s="70"/>
      <c r="C32" s="65"/>
      <c r="D32" s="65"/>
      <c r="E32" s="65"/>
      <c r="F32" s="71">
        <f>SUM(F28:F31)</f>
        <v>0</v>
      </c>
      <c r="G32" s="235">
        <f>SUM(G28:G31)</f>
        <v>0</v>
      </c>
      <c r="H32" s="154"/>
      <c r="J32" s="11" t="s">
        <v>281</v>
      </c>
      <c r="K32" s="67">
        <f>F37</f>
        <v>1510</v>
      </c>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row>
    <row r="33" spans="6:110" ht="18" customHeight="1">
      <c r="F33" s="68"/>
      <c r="G33" s="236"/>
      <c r="H33" s="151"/>
      <c r="J33" s="11" t="s">
        <v>282</v>
      </c>
      <c r="K33" s="11">
        <v>0</v>
      </c>
      <c r="L33" s="67">
        <f>F41</f>
        <v>80</v>
      </c>
      <c r="M33" s="67">
        <f>F41</f>
        <v>80</v>
      </c>
      <c r="N33" s="67">
        <f>F41</f>
        <v>80</v>
      </c>
      <c r="O33" s="67">
        <f>F41</f>
        <v>80</v>
      </c>
      <c r="P33" s="67">
        <f>F41</f>
        <v>80</v>
      </c>
      <c r="Q33" s="67">
        <f>F41</f>
        <v>80</v>
      </c>
      <c r="R33" s="67">
        <f>F41</f>
        <v>80</v>
      </c>
      <c r="S33" s="67">
        <f>F41</f>
        <v>80</v>
      </c>
      <c r="T33" s="67">
        <f>F41</f>
        <v>80</v>
      </c>
      <c r="U33" s="67">
        <f>F41</f>
        <v>80</v>
      </c>
      <c r="V33" s="67">
        <f>F41</f>
        <v>80</v>
      </c>
      <c r="W33" s="67">
        <f>F41</f>
        <v>80</v>
      </c>
      <c r="X33" s="67">
        <f>F41</f>
        <v>80</v>
      </c>
      <c r="Y33" s="67">
        <f>F41</f>
        <v>80</v>
      </c>
      <c r="Z33" s="67">
        <f>F41</f>
        <v>80</v>
      </c>
      <c r="AA33" s="67">
        <f>F41</f>
        <v>80</v>
      </c>
      <c r="AB33" s="67">
        <f>F41</f>
        <v>80</v>
      </c>
      <c r="AC33" s="67">
        <f>F41</f>
        <v>80</v>
      </c>
      <c r="AD33" s="67">
        <f>$F$41</f>
        <v>80</v>
      </c>
      <c r="AE33" s="67">
        <f aca="true" t="shared" si="15" ref="AE33:CP33">$F$41</f>
        <v>80</v>
      </c>
      <c r="AF33" s="67">
        <f t="shared" si="15"/>
        <v>80</v>
      </c>
      <c r="AG33" s="67">
        <f t="shared" si="15"/>
        <v>80</v>
      </c>
      <c r="AH33" s="67">
        <f t="shared" si="15"/>
        <v>80</v>
      </c>
      <c r="AI33" s="67">
        <f t="shared" si="15"/>
        <v>80</v>
      </c>
      <c r="AJ33" s="67">
        <f t="shared" si="15"/>
        <v>80</v>
      </c>
      <c r="AK33" s="67">
        <f t="shared" si="15"/>
        <v>80</v>
      </c>
      <c r="AL33" s="67">
        <f t="shared" si="15"/>
        <v>80</v>
      </c>
      <c r="AM33" s="67">
        <f t="shared" si="15"/>
        <v>80</v>
      </c>
      <c r="AN33" s="67">
        <f t="shared" si="15"/>
        <v>80</v>
      </c>
      <c r="AO33" s="67">
        <f t="shared" si="15"/>
        <v>80</v>
      </c>
      <c r="AP33" s="67">
        <f t="shared" si="15"/>
        <v>80</v>
      </c>
      <c r="AQ33" s="67">
        <f t="shared" si="15"/>
        <v>80</v>
      </c>
      <c r="AR33" s="67">
        <f t="shared" si="15"/>
        <v>80</v>
      </c>
      <c r="AS33" s="67">
        <f t="shared" si="15"/>
        <v>80</v>
      </c>
      <c r="AT33" s="67">
        <f t="shared" si="15"/>
        <v>80</v>
      </c>
      <c r="AU33" s="67">
        <f t="shared" si="15"/>
        <v>80</v>
      </c>
      <c r="AV33" s="67">
        <f t="shared" si="15"/>
        <v>80</v>
      </c>
      <c r="AW33" s="67">
        <f t="shared" si="15"/>
        <v>80</v>
      </c>
      <c r="AX33" s="67">
        <f t="shared" si="15"/>
        <v>80</v>
      </c>
      <c r="AY33" s="67">
        <f t="shared" si="15"/>
        <v>80</v>
      </c>
      <c r="AZ33" s="67">
        <f t="shared" si="15"/>
        <v>80</v>
      </c>
      <c r="BA33" s="67">
        <f t="shared" si="15"/>
        <v>80</v>
      </c>
      <c r="BB33" s="67">
        <f t="shared" si="15"/>
        <v>80</v>
      </c>
      <c r="BC33" s="67">
        <f t="shared" si="15"/>
        <v>80</v>
      </c>
      <c r="BD33" s="67">
        <f t="shared" si="15"/>
        <v>80</v>
      </c>
      <c r="BE33" s="67">
        <f t="shared" si="15"/>
        <v>80</v>
      </c>
      <c r="BF33" s="67">
        <f t="shared" si="15"/>
        <v>80</v>
      </c>
      <c r="BG33" s="67">
        <f t="shared" si="15"/>
        <v>80</v>
      </c>
      <c r="BH33" s="67">
        <f t="shared" si="15"/>
        <v>80</v>
      </c>
      <c r="BI33" s="67">
        <f t="shared" si="15"/>
        <v>80</v>
      </c>
      <c r="BJ33" s="67">
        <f t="shared" si="15"/>
        <v>80</v>
      </c>
      <c r="BK33" s="67">
        <f t="shared" si="15"/>
        <v>80</v>
      </c>
      <c r="BL33" s="67">
        <f t="shared" si="15"/>
        <v>80</v>
      </c>
      <c r="BM33" s="67">
        <f t="shared" si="15"/>
        <v>80</v>
      </c>
      <c r="BN33" s="67">
        <f t="shared" si="15"/>
        <v>80</v>
      </c>
      <c r="BO33" s="67">
        <f t="shared" si="15"/>
        <v>80</v>
      </c>
      <c r="BP33" s="67">
        <f t="shared" si="15"/>
        <v>80</v>
      </c>
      <c r="BQ33" s="67">
        <f t="shared" si="15"/>
        <v>80</v>
      </c>
      <c r="BR33" s="67">
        <f t="shared" si="15"/>
        <v>80</v>
      </c>
      <c r="BS33" s="67">
        <f t="shared" si="15"/>
        <v>80</v>
      </c>
      <c r="BT33" s="67">
        <f t="shared" si="15"/>
        <v>80</v>
      </c>
      <c r="BU33" s="67">
        <f t="shared" si="15"/>
        <v>80</v>
      </c>
      <c r="BV33" s="67">
        <f t="shared" si="15"/>
        <v>80</v>
      </c>
      <c r="BW33" s="67">
        <f t="shared" si="15"/>
        <v>80</v>
      </c>
      <c r="BX33" s="67">
        <f t="shared" si="15"/>
        <v>80</v>
      </c>
      <c r="BY33" s="67">
        <f t="shared" si="15"/>
        <v>80</v>
      </c>
      <c r="BZ33" s="67">
        <f t="shared" si="15"/>
        <v>80</v>
      </c>
      <c r="CA33" s="67">
        <f t="shared" si="15"/>
        <v>80</v>
      </c>
      <c r="CB33" s="67">
        <f t="shared" si="15"/>
        <v>80</v>
      </c>
      <c r="CC33" s="67">
        <f t="shared" si="15"/>
        <v>80</v>
      </c>
      <c r="CD33" s="67">
        <f t="shared" si="15"/>
        <v>80</v>
      </c>
      <c r="CE33" s="67">
        <f t="shared" si="15"/>
        <v>80</v>
      </c>
      <c r="CF33" s="67">
        <f t="shared" si="15"/>
        <v>80</v>
      </c>
      <c r="CG33" s="67">
        <f t="shared" si="15"/>
        <v>80</v>
      </c>
      <c r="CH33" s="67">
        <f t="shared" si="15"/>
        <v>80</v>
      </c>
      <c r="CI33" s="67">
        <f t="shared" si="15"/>
        <v>80</v>
      </c>
      <c r="CJ33" s="67">
        <f t="shared" si="15"/>
        <v>80</v>
      </c>
      <c r="CK33" s="67">
        <f t="shared" si="15"/>
        <v>80</v>
      </c>
      <c r="CL33" s="67">
        <f t="shared" si="15"/>
        <v>80</v>
      </c>
      <c r="CM33" s="67">
        <f t="shared" si="15"/>
        <v>80</v>
      </c>
      <c r="CN33" s="67">
        <f t="shared" si="15"/>
        <v>80</v>
      </c>
      <c r="CO33" s="67">
        <f t="shared" si="15"/>
        <v>80</v>
      </c>
      <c r="CP33" s="67">
        <f t="shared" si="15"/>
        <v>80</v>
      </c>
      <c r="CQ33" s="67">
        <f aca="true" t="shared" si="16" ref="CQ33:DF33">$F$41</f>
        <v>80</v>
      </c>
      <c r="CR33" s="67">
        <f t="shared" si="16"/>
        <v>80</v>
      </c>
      <c r="CS33" s="67">
        <f t="shared" si="16"/>
        <v>80</v>
      </c>
      <c r="CT33" s="67">
        <f t="shared" si="16"/>
        <v>80</v>
      </c>
      <c r="CU33" s="67">
        <f t="shared" si="16"/>
        <v>80</v>
      </c>
      <c r="CV33" s="67">
        <f t="shared" si="16"/>
        <v>80</v>
      </c>
      <c r="CW33" s="67">
        <f t="shared" si="16"/>
        <v>80</v>
      </c>
      <c r="CX33" s="67">
        <f t="shared" si="16"/>
        <v>80</v>
      </c>
      <c r="CY33" s="67">
        <f t="shared" si="16"/>
        <v>80</v>
      </c>
      <c r="CZ33" s="67">
        <f t="shared" si="16"/>
        <v>80</v>
      </c>
      <c r="DA33" s="67">
        <f t="shared" si="16"/>
        <v>80</v>
      </c>
      <c r="DB33" s="67">
        <f t="shared" si="16"/>
        <v>80</v>
      </c>
      <c r="DC33" s="67">
        <f t="shared" si="16"/>
        <v>80</v>
      </c>
      <c r="DD33" s="67">
        <f t="shared" si="16"/>
        <v>80</v>
      </c>
      <c r="DE33" s="67">
        <f t="shared" si="16"/>
        <v>80</v>
      </c>
      <c r="DF33" s="67">
        <f t="shared" si="16"/>
        <v>80</v>
      </c>
    </row>
    <row r="34" spans="1:110" ht="18" customHeight="1">
      <c r="A34" s="684" t="s">
        <v>31</v>
      </c>
      <c r="B34" s="684"/>
      <c r="C34" s="274"/>
      <c r="D34" s="274"/>
      <c r="E34" s="274"/>
      <c r="F34" s="696"/>
      <c r="G34" s="696"/>
      <c r="H34" s="689" t="s">
        <v>84</v>
      </c>
      <c r="J34" s="204" t="s">
        <v>280</v>
      </c>
      <c r="K34" s="33">
        <f>SUM(K28:K31)-SUM(K32:K33)</f>
        <v>-1510</v>
      </c>
      <c r="L34" s="33">
        <f aca="true" t="shared" si="17" ref="L34:Y34">SUM(L28:L31)-SUM(L32:L33)</f>
        <v>-80</v>
      </c>
      <c r="M34" s="33">
        <f t="shared" si="17"/>
        <v>-80</v>
      </c>
      <c r="N34" s="33">
        <f t="shared" si="17"/>
        <v>-80</v>
      </c>
      <c r="O34" s="33">
        <f t="shared" si="17"/>
        <v>-80</v>
      </c>
      <c r="P34" s="33">
        <f t="shared" si="17"/>
        <v>-80</v>
      </c>
      <c r="Q34" s="33">
        <f t="shared" si="17"/>
        <v>-80</v>
      </c>
      <c r="R34" s="33">
        <f t="shared" si="17"/>
        <v>-80</v>
      </c>
      <c r="S34" s="33">
        <f t="shared" si="17"/>
        <v>-80</v>
      </c>
      <c r="T34" s="33">
        <f t="shared" si="17"/>
        <v>-80</v>
      </c>
      <c r="U34" s="33">
        <f t="shared" si="17"/>
        <v>-80</v>
      </c>
      <c r="V34" s="33">
        <f t="shared" si="17"/>
        <v>-80</v>
      </c>
      <c r="W34" s="33">
        <f t="shared" si="17"/>
        <v>-80</v>
      </c>
      <c r="X34" s="33">
        <f t="shared" si="17"/>
        <v>-80</v>
      </c>
      <c r="Y34" s="33">
        <f t="shared" si="17"/>
        <v>-80</v>
      </c>
      <c r="Z34" s="33">
        <f>SUM(Z28:Z31)-SUM(Z32:Z33)</f>
        <v>-80</v>
      </c>
      <c r="AA34" s="33">
        <f>SUM(AA28:AA31)-SUM(AA32:AA33)</f>
        <v>-80</v>
      </c>
      <c r="AB34" s="33">
        <f>SUM(AB28:AB31)-SUM(AB32:AB33)</f>
        <v>-80</v>
      </c>
      <c r="AC34" s="33">
        <f>SUM(AC28:AC31)-SUM(AC32:AC33)</f>
        <v>-80</v>
      </c>
      <c r="AD34" s="33">
        <f>SUM(AD28:AD31)-SUM(AD32:AD33)</f>
        <v>-80</v>
      </c>
      <c r="AE34" s="33">
        <f aca="true" t="shared" si="18" ref="AE34:BL34">SUM(AE28:AE31)-SUM(AE32:AE33)</f>
        <v>-80</v>
      </c>
      <c r="AF34" s="33">
        <f t="shared" si="18"/>
        <v>-80</v>
      </c>
      <c r="AG34" s="33">
        <f t="shared" si="18"/>
        <v>-80</v>
      </c>
      <c r="AH34" s="33">
        <f t="shared" si="18"/>
        <v>-80</v>
      </c>
      <c r="AI34" s="33">
        <f t="shared" si="18"/>
        <v>-80</v>
      </c>
      <c r="AJ34" s="33">
        <f t="shared" si="18"/>
        <v>-80</v>
      </c>
      <c r="AK34" s="33">
        <f t="shared" si="18"/>
        <v>-80</v>
      </c>
      <c r="AL34" s="33">
        <f t="shared" si="18"/>
        <v>-80</v>
      </c>
      <c r="AM34" s="33">
        <f t="shared" si="18"/>
        <v>-80</v>
      </c>
      <c r="AN34" s="33">
        <f t="shared" si="18"/>
        <v>-80</v>
      </c>
      <c r="AO34" s="33">
        <f t="shared" si="18"/>
        <v>-80</v>
      </c>
      <c r="AP34" s="33">
        <f t="shared" si="18"/>
        <v>-80</v>
      </c>
      <c r="AQ34" s="33">
        <f t="shared" si="18"/>
        <v>-80</v>
      </c>
      <c r="AR34" s="33">
        <f t="shared" si="18"/>
        <v>-80</v>
      </c>
      <c r="AS34" s="33">
        <f t="shared" si="18"/>
        <v>-80</v>
      </c>
      <c r="AT34" s="33">
        <f t="shared" si="18"/>
        <v>-80</v>
      </c>
      <c r="AU34" s="33">
        <f t="shared" si="18"/>
        <v>-80</v>
      </c>
      <c r="AV34" s="33">
        <f t="shared" si="18"/>
        <v>-80</v>
      </c>
      <c r="AW34" s="33">
        <f t="shared" si="18"/>
        <v>-80</v>
      </c>
      <c r="AX34" s="33">
        <f t="shared" si="18"/>
        <v>-80</v>
      </c>
      <c r="AY34" s="33">
        <f t="shared" si="18"/>
        <v>-80</v>
      </c>
      <c r="AZ34" s="33">
        <f t="shared" si="18"/>
        <v>-80</v>
      </c>
      <c r="BA34" s="33">
        <f t="shared" si="18"/>
        <v>-80</v>
      </c>
      <c r="BB34" s="33">
        <f t="shared" si="18"/>
        <v>-80</v>
      </c>
      <c r="BC34" s="33">
        <f t="shared" si="18"/>
        <v>-80</v>
      </c>
      <c r="BD34" s="33">
        <f t="shared" si="18"/>
        <v>-80</v>
      </c>
      <c r="BE34" s="33">
        <f t="shared" si="18"/>
        <v>-80</v>
      </c>
      <c r="BF34" s="33">
        <f t="shared" si="18"/>
        <v>-80</v>
      </c>
      <c r="BG34" s="33">
        <f t="shared" si="18"/>
        <v>-80</v>
      </c>
      <c r="BH34" s="33">
        <f t="shared" si="18"/>
        <v>-80</v>
      </c>
      <c r="BI34" s="33">
        <f t="shared" si="18"/>
        <v>-80</v>
      </c>
      <c r="BJ34" s="33">
        <f t="shared" si="18"/>
        <v>-80</v>
      </c>
      <c r="BK34" s="33">
        <f t="shared" si="18"/>
        <v>-80</v>
      </c>
      <c r="BL34" s="33">
        <f t="shared" si="18"/>
        <v>-80</v>
      </c>
      <c r="BM34" s="33">
        <f aca="true" t="shared" si="19" ref="BM34:DF34">SUM(BM28:BM31)-SUM(BM32:BM33)</f>
        <v>-80</v>
      </c>
      <c r="BN34" s="33">
        <f t="shared" si="19"/>
        <v>-80</v>
      </c>
      <c r="BO34" s="33">
        <f t="shared" si="19"/>
        <v>-80</v>
      </c>
      <c r="BP34" s="33">
        <f t="shared" si="19"/>
        <v>-80</v>
      </c>
      <c r="BQ34" s="33">
        <f t="shared" si="19"/>
        <v>-80</v>
      </c>
      <c r="BR34" s="33">
        <f t="shared" si="19"/>
        <v>-80</v>
      </c>
      <c r="BS34" s="33">
        <f t="shared" si="19"/>
        <v>-80</v>
      </c>
      <c r="BT34" s="33">
        <f t="shared" si="19"/>
        <v>-80</v>
      </c>
      <c r="BU34" s="33">
        <f t="shared" si="19"/>
        <v>-80</v>
      </c>
      <c r="BV34" s="33">
        <f t="shared" si="19"/>
        <v>-80</v>
      </c>
      <c r="BW34" s="33">
        <f t="shared" si="19"/>
        <v>-80</v>
      </c>
      <c r="BX34" s="33">
        <f t="shared" si="19"/>
        <v>-80</v>
      </c>
      <c r="BY34" s="33">
        <f t="shared" si="19"/>
        <v>-80</v>
      </c>
      <c r="BZ34" s="33">
        <f t="shared" si="19"/>
        <v>-80</v>
      </c>
      <c r="CA34" s="33">
        <f t="shared" si="19"/>
        <v>-80</v>
      </c>
      <c r="CB34" s="33">
        <f t="shared" si="19"/>
        <v>-80</v>
      </c>
      <c r="CC34" s="33">
        <f t="shared" si="19"/>
        <v>-80</v>
      </c>
      <c r="CD34" s="33">
        <f t="shared" si="19"/>
        <v>-80</v>
      </c>
      <c r="CE34" s="33">
        <f t="shared" si="19"/>
        <v>-80</v>
      </c>
      <c r="CF34" s="33">
        <f t="shared" si="19"/>
        <v>-80</v>
      </c>
      <c r="CG34" s="33">
        <f t="shared" si="19"/>
        <v>-80</v>
      </c>
      <c r="CH34" s="33">
        <f t="shared" si="19"/>
        <v>-80</v>
      </c>
      <c r="CI34" s="33">
        <f t="shared" si="19"/>
        <v>-80</v>
      </c>
      <c r="CJ34" s="33">
        <f t="shared" si="19"/>
        <v>-80</v>
      </c>
      <c r="CK34" s="33">
        <f t="shared" si="19"/>
        <v>-80</v>
      </c>
      <c r="CL34" s="33">
        <f t="shared" si="19"/>
        <v>-80</v>
      </c>
      <c r="CM34" s="33">
        <f t="shared" si="19"/>
        <v>-80</v>
      </c>
      <c r="CN34" s="33">
        <f t="shared" si="19"/>
        <v>-80</v>
      </c>
      <c r="CO34" s="33">
        <f t="shared" si="19"/>
        <v>-80</v>
      </c>
      <c r="CP34" s="33">
        <f t="shared" si="19"/>
        <v>-80</v>
      </c>
      <c r="CQ34" s="33">
        <f t="shared" si="19"/>
        <v>-80</v>
      </c>
      <c r="CR34" s="33">
        <f t="shared" si="19"/>
        <v>-80</v>
      </c>
      <c r="CS34" s="33">
        <f t="shared" si="19"/>
        <v>-80</v>
      </c>
      <c r="CT34" s="33">
        <f t="shared" si="19"/>
        <v>-80</v>
      </c>
      <c r="CU34" s="33">
        <f t="shared" si="19"/>
        <v>-80</v>
      </c>
      <c r="CV34" s="33">
        <f t="shared" si="19"/>
        <v>-80</v>
      </c>
      <c r="CW34" s="33">
        <f t="shared" si="19"/>
        <v>-80</v>
      </c>
      <c r="CX34" s="33">
        <f t="shared" si="19"/>
        <v>-80</v>
      </c>
      <c r="CY34" s="33">
        <f t="shared" si="19"/>
        <v>-80</v>
      </c>
      <c r="CZ34" s="33">
        <f t="shared" si="19"/>
        <v>-80</v>
      </c>
      <c r="DA34" s="33">
        <f t="shared" si="19"/>
        <v>-80</v>
      </c>
      <c r="DB34" s="33">
        <f t="shared" si="19"/>
        <v>-80</v>
      </c>
      <c r="DC34" s="33">
        <f t="shared" si="19"/>
        <v>-80</v>
      </c>
      <c r="DD34" s="33">
        <f t="shared" si="19"/>
        <v>-80</v>
      </c>
      <c r="DE34" s="33">
        <f t="shared" si="19"/>
        <v>-80</v>
      </c>
      <c r="DF34" s="33">
        <f t="shared" si="19"/>
        <v>-80</v>
      </c>
    </row>
    <row r="35" spans="1:25" s="1" customFormat="1" ht="18" customHeight="1">
      <c r="A35" s="13" t="s">
        <v>211</v>
      </c>
      <c r="B35" s="13">
        <v>1</v>
      </c>
      <c r="C35" s="13" t="s">
        <v>64</v>
      </c>
      <c r="D35" s="173">
        <f>Prices!C40</f>
        <v>850</v>
      </c>
      <c r="E35" s="167">
        <v>1</v>
      </c>
      <c r="F35" s="168">
        <f>E35*D35</f>
        <v>850</v>
      </c>
      <c r="G35" s="228">
        <f>D35*E35</f>
        <v>850</v>
      </c>
      <c r="H35" s="151" t="s">
        <v>212</v>
      </c>
      <c r="J35" t="s">
        <v>289</v>
      </c>
      <c r="K35" s="188"/>
      <c r="L35"/>
      <c r="M35"/>
      <c r="N35"/>
      <c r="O35"/>
      <c r="P35"/>
      <c r="Q35"/>
      <c r="R35"/>
      <c r="S35"/>
      <c r="T35"/>
      <c r="U35"/>
      <c r="V35"/>
      <c r="W35"/>
      <c r="X35"/>
      <c r="Y35"/>
    </row>
    <row r="36" spans="1:16" ht="18" customHeight="1">
      <c r="A36" s="11" t="s">
        <v>437</v>
      </c>
      <c r="B36" s="11">
        <v>1</v>
      </c>
      <c r="C36" s="11" t="s">
        <v>64</v>
      </c>
      <c r="D36" s="69">
        <f>300+115+45+200</f>
        <v>660</v>
      </c>
      <c r="E36" s="63">
        <v>1</v>
      </c>
      <c r="F36" s="67">
        <f>E36*D36</f>
        <v>660</v>
      </c>
      <c r="G36" s="237">
        <f>D36*E36</f>
        <v>660</v>
      </c>
      <c r="H36" s="151"/>
      <c r="K36" s="188"/>
      <c r="M36" s="17" t="s">
        <v>422</v>
      </c>
      <c r="N36" s="6"/>
      <c r="O36" s="6"/>
      <c r="P36" s="255"/>
    </row>
    <row r="37" spans="1:14" ht="18" customHeight="1">
      <c r="A37" s="87" t="s">
        <v>182</v>
      </c>
      <c r="B37" s="88"/>
      <c r="C37" s="164"/>
      <c r="D37" s="165"/>
      <c r="E37" s="164"/>
      <c r="F37" s="165">
        <f>SUM(F35:F36)</f>
        <v>1510</v>
      </c>
      <c r="G37" s="238">
        <f>SUM(G35:G36)</f>
        <v>1510</v>
      </c>
      <c r="H37" s="154"/>
      <c r="J37" s="29" t="s">
        <v>291</v>
      </c>
      <c r="K37" s="153">
        <f>NPV('Farm &amp; Buffer Assumptions'!C74,K34:AD34)</f>
        <v>-2462.2261075974147</v>
      </c>
      <c r="M37" s="225">
        <f>K28</f>
        <v>0</v>
      </c>
      <c r="N37" s="216" t="s">
        <v>43</v>
      </c>
    </row>
    <row r="38" spans="1:14" ht="18" customHeight="1">
      <c r="A38" s="75"/>
      <c r="B38" s="34"/>
      <c r="C38" s="12"/>
      <c r="D38" s="12"/>
      <c r="E38" s="12"/>
      <c r="F38" s="76"/>
      <c r="G38" s="239"/>
      <c r="H38" s="151"/>
      <c r="J38" s="29" t="s">
        <v>292</v>
      </c>
      <c r="K38" s="153">
        <f>NPV('Farm &amp; Buffer Assumptions'!C74,K34:AN34)</f>
        <v>-2758.362664053158</v>
      </c>
      <c r="M38" s="223">
        <f>NPV('Farm &amp; Buffer Assumptions'!C74,K29:N29)</f>
        <v>0</v>
      </c>
      <c r="N38" s="10" t="s">
        <v>347</v>
      </c>
    </row>
    <row r="39" spans="1:25" ht="18" customHeight="1">
      <c r="A39" s="684" t="s">
        <v>39</v>
      </c>
      <c r="B39" s="684"/>
      <c r="C39" s="274"/>
      <c r="D39" s="274"/>
      <c r="E39" s="274"/>
      <c r="F39" s="696"/>
      <c r="G39" s="696"/>
      <c r="H39" s="689"/>
      <c r="J39" s="29" t="s">
        <v>293</v>
      </c>
      <c r="K39" s="153">
        <f>NPV('Farm &amp; Buffer Assumptions'!C74,K34:AX34)</f>
        <v>-2958.4219106741166</v>
      </c>
      <c r="L39" s="1"/>
      <c r="M39" s="224">
        <f>NPV('Farm &amp; Buffer Assumptions'!C74,K30:Y30)</f>
        <v>0</v>
      </c>
      <c r="N39" s="216" t="s">
        <v>234</v>
      </c>
      <c r="O39" s="1"/>
      <c r="P39" s="1"/>
      <c r="Q39" s="1"/>
      <c r="R39" s="1"/>
      <c r="S39" s="1"/>
      <c r="T39" s="1"/>
      <c r="U39" s="1"/>
      <c r="V39" s="1"/>
      <c r="W39" s="1"/>
      <c r="X39" s="1"/>
      <c r="Y39" s="1"/>
    </row>
    <row r="40" spans="1:14" ht="18" customHeight="1">
      <c r="A40" s="11" t="s">
        <v>85</v>
      </c>
      <c r="B40" s="11" t="s">
        <v>205</v>
      </c>
      <c r="C40" s="11" t="s">
        <v>64</v>
      </c>
      <c r="D40" s="69">
        <f>Prices!C41</f>
        <v>40</v>
      </c>
      <c r="E40" s="63">
        <v>2</v>
      </c>
      <c r="F40" s="67">
        <f>E40*D40</f>
        <v>80</v>
      </c>
      <c r="G40" s="237">
        <f>(F40/'Farm &amp; Buffer Assumptions'!C74)</f>
        <v>2000</v>
      </c>
      <c r="H40" s="151" t="s">
        <v>216</v>
      </c>
      <c r="J40" s="29" t="s">
        <v>294</v>
      </c>
      <c r="K40" s="153">
        <f>NPV('Farm &amp; Buffer Assumptions'!C74,K34:BH34)</f>
        <v>-3093.5747693335197</v>
      </c>
      <c r="M40" s="223">
        <f>K31</f>
        <v>0</v>
      </c>
      <c r="N40" s="216" t="s">
        <v>86</v>
      </c>
    </row>
    <row r="41" spans="1:14" ht="18" customHeight="1">
      <c r="A41" s="166" t="s">
        <v>185</v>
      </c>
      <c r="B41" s="12"/>
      <c r="C41" s="12"/>
      <c r="D41" s="12"/>
      <c r="E41" s="12"/>
      <c r="F41" s="165">
        <f>SUM(F40:F40)</f>
        <v>80</v>
      </c>
      <c r="G41" s="238">
        <f>SUM(G40:G40)</f>
        <v>2000</v>
      </c>
      <c r="H41" s="151"/>
      <c r="J41" s="29" t="s">
        <v>295</v>
      </c>
      <c r="K41" s="153">
        <f>NPV('Farm &amp; Buffer Assumptions'!C74,K34:BR34)</f>
        <v>-3184.87919795819</v>
      </c>
      <c r="M41" s="225">
        <f>K32</f>
        <v>1510</v>
      </c>
      <c r="N41" s="193" t="s">
        <v>343</v>
      </c>
    </row>
    <row r="42" spans="1:14" ht="18" customHeight="1">
      <c r="A42" s="11"/>
      <c r="B42" s="11"/>
      <c r="C42" s="11"/>
      <c r="D42" s="69"/>
      <c r="E42" s="63"/>
      <c r="F42" s="63"/>
      <c r="G42" s="237"/>
      <c r="H42" s="151"/>
      <c r="J42" s="29" t="s">
        <v>296</v>
      </c>
      <c r="K42" s="153">
        <f>NPV('Farm &amp; Buffer Assumptions'!C74,K34:CB34)</f>
        <v>-3246.56119839213</v>
      </c>
      <c r="M42" s="223">
        <f>NPV('Farm &amp; Buffer Assumptions'!C74,K33:DF33)</f>
        <v>1883.4768428490809</v>
      </c>
      <c r="N42" t="s">
        <v>355</v>
      </c>
    </row>
    <row r="43" spans="1:13" ht="18" customHeight="1">
      <c r="A43" s="70" t="s">
        <v>186</v>
      </c>
      <c r="B43" s="70"/>
      <c r="C43" s="70"/>
      <c r="D43" s="72"/>
      <c r="E43" s="73"/>
      <c r="F43" s="73">
        <f>F37+F41</f>
        <v>1590</v>
      </c>
      <c r="G43" s="240">
        <f>G37+G41</f>
        <v>3510</v>
      </c>
      <c r="H43" s="162"/>
      <c r="J43" s="29" t="s">
        <v>297</v>
      </c>
      <c r="K43" s="153">
        <f>NPV('Farm &amp; Buffer Assumptions'!C74,K34:CL34)</f>
        <v>-3288.231347746797</v>
      </c>
      <c r="M43" s="223"/>
    </row>
    <row r="44" spans="1:14" ht="18" customHeight="1">
      <c r="A44" s="11"/>
      <c r="B44" s="11"/>
      <c r="C44" s="11"/>
      <c r="D44" s="11"/>
      <c r="E44" s="11"/>
      <c r="F44" s="67"/>
      <c r="G44" s="227"/>
      <c r="H44" s="151"/>
      <c r="J44" s="29" t="s">
        <v>298</v>
      </c>
      <c r="K44" s="153">
        <f>NPV('Farm &amp; Buffer Assumptions'!C74,K34:CV34)</f>
        <v>-3316.382207560429</v>
      </c>
      <c r="M44" s="226">
        <f>SUM(M37:M40)-SUM(M41:M43)</f>
        <v>-3393.4768428490806</v>
      </c>
      <c r="N44" t="s">
        <v>346</v>
      </c>
    </row>
    <row r="45" spans="1:11" ht="18" customHeight="1">
      <c r="A45" s="692" t="s">
        <v>312</v>
      </c>
      <c r="B45" s="692"/>
      <c r="C45" s="692"/>
      <c r="D45" s="692"/>
      <c r="E45" s="692"/>
      <c r="F45" s="694"/>
      <c r="G45" s="694">
        <f>G32-G43</f>
        <v>-3510</v>
      </c>
      <c r="H45" s="695"/>
      <c r="J45" s="29" t="s">
        <v>299</v>
      </c>
      <c r="K45" s="153">
        <f>NPV('Farm &amp; Buffer Assumptions'!C74,K34:DF34)</f>
        <v>-3335.399919772157</v>
      </c>
    </row>
    <row r="46" spans="1:11" ht="52.5" customHeight="1">
      <c r="A46" s="751" t="s">
        <v>356</v>
      </c>
      <c r="B46" s="752"/>
      <c r="C46" s="752"/>
      <c r="D46" s="752"/>
      <c r="E46" s="752"/>
      <c r="F46" s="752"/>
      <c r="G46" s="752"/>
      <c r="H46" s="752"/>
      <c r="J46" t="s">
        <v>340</v>
      </c>
      <c r="K46" s="215">
        <f>K45-G45</f>
        <v>174.60008022784314</v>
      </c>
    </row>
    <row r="47" spans="1:8" ht="21" customHeight="1">
      <c r="A47" s="754" t="s">
        <v>207</v>
      </c>
      <c r="B47" s="752"/>
      <c r="C47" s="752"/>
      <c r="D47" s="752"/>
      <c r="E47" s="752"/>
      <c r="F47" s="752"/>
      <c r="G47" s="752"/>
      <c r="H47" s="752"/>
    </row>
    <row r="48" spans="1:8" ht="27" customHeight="1">
      <c r="A48" s="752" t="s">
        <v>188</v>
      </c>
      <c r="B48" s="752"/>
      <c r="C48" s="752"/>
      <c r="D48" s="752"/>
      <c r="E48" s="752"/>
      <c r="F48" s="752"/>
      <c r="G48" s="752"/>
      <c r="H48" s="752"/>
    </row>
    <row r="49" spans="1:8" ht="38.25" customHeight="1">
      <c r="A49" s="752" t="s">
        <v>190</v>
      </c>
      <c r="B49" s="752"/>
      <c r="C49" s="752"/>
      <c r="D49" s="752"/>
      <c r="E49" s="752"/>
      <c r="F49" s="752"/>
      <c r="G49" s="752"/>
      <c r="H49" s="752"/>
    </row>
    <row r="50" spans="1:11" ht="29.25" customHeight="1" thickBot="1">
      <c r="A50" s="1"/>
      <c r="B50" s="1"/>
      <c r="C50" s="1"/>
      <c r="D50" s="1"/>
      <c r="E50" s="1"/>
      <c r="K50" t="s">
        <v>290</v>
      </c>
    </row>
    <row r="51" spans="1:110" ht="40.5" customHeight="1" thickBot="1">
      <c r="A51" s="477" t="s">
        <v>350</v>
      </c>
      <c r="B51" s="475" t="s">
        <v>176</v>
      </c>
      <c r="C51" s="475" t="s">
        <v>0</v>
      </c>
      <c r="D51" s="476" t="s">
        <v>11</v>
      </c>
      <c r="E51" s="476" t="s">
        <v>22</v>
      </c>
      <c r="F51" s="476" t="s">
        <v>18</v>
      </c>
      <c r="G51" s="476" t="s">
        <v>177</v>
      </c>
      <c r="H51" s="475" t="s">
        <v>178</v>
      </c>
      <c r="J51" s="205" t="s">
        <v>278</v>
      </c>
      <c r="K51" s="11">
        <v>1</v>
      </c>
      <c r="L51" s="11">
        <v>2</v>
      </c>
      <c r="M51" s="11">
        <v>3</v>
      </c>
      <c r="N51" s="11">
        <v>4</v>
      </c>
      <c r="O51" s="11">
        <v>5</v>
      </c>
      <c r="P51" s="11">
        <v>6</v>
      </c>
      <c r="Q51" s="11">
        <v>7</v>
      </c>
      <c r="R51" s="11">
        <v>8</v>
      </c>
      <c r="S51" s="11">
        <v>9</v>
      </c>
      <c r="T51" s="11">
        <v>10</v>
      </c>
      <c r="U51" s="11">
        <v>11</v>
      </c>
      <c r="V51" s="11">
        <v>12</v>
      </c>
      <c r="W51" s="11">
        <v>13</v>
      </c>
      <c r="X51" s="11">
        <v>14</v>
      </c>
      <c r="Y51" s="11">
        <v>15</v>
      </c>
      <c r="Z51" s="179">
        <v>16</v>
      </c>
      <c r="AA51" s="179">
        <v>17</v>
      </c>
      <c r="AB51" s="179">
        <v>18</v>
      </c>
      <c r="AC51" s="179">
        <v>19</v>
      </c>
      <c r="AD51" s="179">
        <v>20</v>
      </c>
      <c r="AE51" s="179">
        <v>21</v>
      </c>
      <c r="AF51" s="179">
        <v>22</v>
      </c>
      <c r="AG51" s="179">
        <v>23</v>
      </c>
      <c r="AH51" s="179">
        <v>24</v>
      </c>
      <c r="AI51" s="179">
        <v>25</v>
      </c>
      <c r="AJ51" s="179">
        <v>26</v>
      </c>
      <c r="AK51" s="179">
        <v>27</v>
      </c>
      <c r="AL51" s="179">
        <v>28</v>
      </c>
      <c r="AM51" s="179">
        <v>29</v>
      </c>
      <c r="AN51" s="179">
        <v>30</v>
      </c>
      <c r="AO51" s="179">
        <v>31</v>
      </c>
      <c r="AP51" s="179">
        <v>32</v>
      </c>
      <c r="AQ51" s="179">
        <v>33</v>
      </c>
      <c r="AR51" s="179">
        <v>34</v>
      </c>
      <c r="AS51" s="179">
        <v>35</v>
      </c>
      <c r="AT51" s="179">
        <v>36</v>
      </c>
      <c r="AU51" s="179">
        <v>37</v>
      </c>
      <c r="AV51" s="179">
        <v>38</v>
      </c>
      <c r="AW51" s="179">
        <v>39</v>
      </c>
      <c r="AX51" s="179">
        <v>40</v>
      </c>
      <c r="AY51" s="179">
        <v>41</v>
      </c>
      <c r="AZ51" s="179">
        <v>42</v>
      </c>
      <c r="BA51" s="179">
        <v>43</v>
      </c>
      <c r="BB51" s="179">
        <v>44</v>
      </c>
      <c r="BC51" s="179">
        <v>45</v>
      </c>
      <c r="BD51" s="179">
        <v>46</v>
      </c>
      <c r="BE51" s="179">
        <v>47</v>
      </c>
      <c r="BF51" s="179">
        <v>48</v>
      </c>
      <c r="BG51" s="179">
        <v>49</v>
      </c>
      <c r="BH51" s="179">
        <v>50</v>
      </c>
      <c r="BI51" s="179">
        <v>51</v>
      </c>
      <c r="BJ51" s="179">
        <v>52</v>
      </c>
      <c r="BK51" s="179">
        <v>53</v>
      </c>
      <c r="BL51" s="179">
        <v>54</v>
      </c>
      <c r="BM51" s="179">
        <v>55</v>
      </c>
      <c r="BN51" s="179">
        <v>56</v>
      </c>
      <c r="BO51" s="179">
        <v>57</v>
      </c>
      <c r="BP51" s="179">
        <v>58</v>
      </c>
      <c r="BQ51" s="179">
        <v>59</v>
      </c>
      <c r="BR51" s="179">
        <v>60</v>
      </c>
      <c r="BS51" s="179">
        <v>61</v>
      </c>
      <c r="BT51" s="179">
        <v>62</v>
      </c>
      <c r="BU51" s="179">
        <v>63</v>
      </c>
      <c r="BV51" s="179">
        <v>64</v>
      </c>
      <c r="BW51" s="179">
        <v>65</v>
      </c>
      <c r="BX51" s="179">
        <v>66</v>
      </c>
      <c r="BY51" s="179">
        <v>67</v>
      </c>
      <c r="BZ51" s="179">
        <v>68</v>
      </c>
      <c r="CA51" s="179">
        <v>69</v>
      </c>
      <c r="CB51" s="179">
        <v>70</v>
      </c>
      <c r="CC51" s="179">
        <v>71</v>
      </c>
      <c r="CD51" s="179">
        <v>72</v>
      </c>
      <c r="CE51" s="179">
        <v>73</v>
      </c>
      <c r="CF51" s="179">
        <v>74</v>
      </c>
      <c r="CG51" s="179">
        <v>75</v>
      </c>
      <c r="CH51" s="179">
        <v>76</v>
      </c>
      <c r="CI51" s="179">
        <v>77</v>
      </c>
      <c r="CJ51" s="179">
        <v>78</v>
      </c>
      <c r="CK51" s="179">
        <v>79</v>
      </c>
      <c r="CL51" s="179">
        <v>80</v>
      </c>
      <c r="CM51" s="179">
        <v>81</v>
      </c>
      <c r="CN51" s="179">
        <v>82</v>
      </c>
      <c r="CO51" s="179">
        <v>83</v>
      </c>
      <c r="CP51" s="179">
        <v>84</v>
      </c>
      <c r="CQ51" s="179">
        <v>85</v>
      </c>
      <c r="CR51" s="179">
        <v>86</v>
      </c>
      <c r="CS51" s="179">
        <v>87</v>
      </c>
      <c r="CT51" s="179">
        <v>88</v>
      </c>
      <c r="CU51" s="179">
        <v>89</v>
      </c>
      <c r="CV51" s="179">
        <v>90</v>
      </c>
      <c r="CW51" s="179">
        <v>91</v>
      </c>
      <c r="CX51" s="179">
        <v>92</v>
      </c>
      <c r="CY51" s="179">
        <v>93</v>
      </c>
      <c r="CZ51" s="179">
        <v>94</v>
      </c>
      <c r="DA51" s="179">
        <v>95</v>
      </c>
      <c r="DB51" s="179">
        <v>96</v>
      </c>
      <c r="DC51" s="179">
        <v>97</v>
      </c>
      <c r="DD51" s="179">
        <v>98</v>
      </c>
      <c r="DE51" s="179">
        <v>99</v>
      </c>
      <c r="DF51" s="179">
        <v>100</v>
      </c>
    </row>
    <row r="52" spans="1:110" ht="18" customHeight="1">
      <c r="A52" s="680" t="s">
        <v>42</v>
      </c>
      <c r="B52" s="646"/>
      <c r="C52" s="646"/>
      <c r="D52" s="647"/>
      <c r="E52" s="647"/>
      <c r="F52" s="647"/>
      <c r="G52" s="647"/>
      <c r="H52" s="704"/>
      <c r="J52" s="11" t="s">
        <v>279</v>
      </c>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row>
    <row r="53" spans="1:110" ht="18" customHeight="1">
      <c r="A53" s="13" t="s">
        <v>43</v>
      </c>
      <c r="B53" s="11">
        <v>1</v>
      </c>
      <c r="C53" s="11" t="s">
        <v>64</v>
      </c>
      <c r="D53" s="11">
        <f>IF('Farm &amp; Buffer Assumptions'!C109=1,F65*'Farm &amp; Buffer Assumptions'!C92,0)</f>
        <v>0</v>
      </c>
      <c r="E53" s="63">
        <v>1</v>
      </c>
      <c r="F53" s="67">
        <f>E53*D53</f>
        <v>0</v>
      </c>
      <c r="G53" s="227">
        <f>F53</f>
        <v>0</v>
      </c>
      <c r="H53" s="151"/>
      <c r="J53" s="11" t="s">
        <v>283</v>
      </c>
      <c r="K53" s="67">
        <f>F53</f>
        <v>0</v>
      </c>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row>
    <row r="54" spans="1:110" ht="18" customHeight="1">
      <c r="A54" s="13" t="s">
        <v>237</v>
      </c>
      <c r="B54" s="11">
        <f>'Farm &amp; Buffer Assumptions'!C95</f>
        <v>5</v>
      </c>
      <c r="C54" s="11" t="s">
        <v>64</v>
      </c>
      <c r="D54" s="11">
        <f>IF('Farm &amp; Buffer Assumptions'!C110=1,F72*'Farm &amp; Buffer Assumptions'!C93,0)</f>
        <v>0</v>
      </c>
      <c r="E54" s="63">
        <v>1</v>
      </c>
      <c r="F54" s="67">
        <f>E54*D54</f>
        <v>0</v>
      </c>
      <c r="G54" s="227">
        <f>(-PV('Farm &amp; Buffer Assumptions'!C74,B54,F54))/(1+'Farm &amp; Buffer Assumptions'!C74)</f>
        <v>0</v>
      </c>
      <c r="H54" s="151"/>
      <c r="J54" s="11" t="s">
        <v>284</v>
      </c>
      <c r="K54" s="11">
        <v>0</v>
      </c>
      <c r="L54" s="67">
        <f>IF(L51=($B$54+1),$F$54,IF(L51&lt;=$B$54,$F$54,0))</f>
        <v>0</v>
      </c>
      <c r="M54" s="67">
        <f aca="true" t="shared" si="20" ref="M54:BX54">IF(M51=($B$54+1),$F$54,IF(M51&lt;=$B$54,$F$54,0))</f>
        <v>0</v>
      </c>
      <c r="N54" s="67">
        <f t="shared" si="20"/>
        <v>0</v>
      </c>
      <c r="O54" s="67">
        <f t="shared" si="20"/>
        <v>0</v>
      </c>
      <c r="P54" s="67">
        <f t="shared" si="20"/>
        <v>0</v>
      </c>
      <c r="Q54" s="67">
        <f t="shared" si="20"/>
        <v>0</v>
      </c>
      <c r="R54" s="67">
        <f t="shared" si="20"/>
        <v>0</v>
      </c>
      <c r="S54" s="67">
        <f t="shared" si="20"/>
        <v>0</v>
      </c>
      <c r="T54" s="67">
        <f t="shared" si="20"/>
        <v>0</v>
      </c>
      <c r="U54" s="67">
        <f t="shared" si="20"/>
        <v>0</v>
      </c>
      <c r="V54" s="67">
        <f t="shared" si="20"/>
        <v>0</v>
      </c>
      <c r="W54" s="67">
        <f t="shared" si="20"/>
        <v>0</v>
      </c>
      <c r="X54" s="67">
        <f t="shared" si="20"/>
        <v>0</v>
      </c>
      <c r="Y54" s="67">
        <f t="shared" si="20"/>
        <v>0</v>
      </c>
      <c r="Z54" s="67">
        <f t="shared" si="20"/>
        <v>0</v>
      </c>
      <c r="AA54" s="67">
        <f t="shared" si="20"/>
        <v>0</v>
      </c>
      <c r="AB54" s="67">
        <f t="shared" si="20"/>
        <v>0</v>
      </c>
      <c r="AC54" s="67">
        <f t="shared" si="20"/>
        <v>0</v>
      </c>
      <c r="AD54" s="67">
        <f t="shared" si="20"/>
        <v>0</v>
      </c>
      <c r="AE54" s="67">
        <f t="shared" si="20"/>
        <v>0</v>
      </c>
      <c r="AF54" s="67">
        <f t="shared" si="20"/>
        <v>0</v>
      </c>
      <c r="AG54" s="67">
        <f t="shared" si="20"/>
        <v>0</v>
      </c>
      <c r="AH54" s="67">
        <f t="shared" si="20"/>
        <v>0</v>
      </c>
      <c r="AI54" s="67">
        <f t="shared" si="20"/>
        <v>0</v>
      </c>
      <c r="AJ54" s="67">
        <f t="shared" si="20"/>
        <v>0</v>
      </c>
      <c r="AK54" s="67">
        <f t="shared" si="20"/>
        <v>0</v>
      </c>
      <c r="AL54" s="67">
        <f t="shared" si="20"/>
        <v>0</v>
      </c>
      <c r="AM54" s="67">
        <f t="shared" si="20"/>
        <v>0</v>
      </c>
      <c r="AN54" s="67">
        <f t="shared" si="20"/>
        <v>0</v>
      </c>
      <c r="AO54" s="67">
        <f t="shared" si="20"/>
        <v>0</v>
      </c>
      <c r="AP54" s="67">
        <f t="shared" si="20"/>
        <v>0</v>
      </c>
      <c r="AQ54" s="67">
        <f t="shared" si="20"/>
        <v>0</v>
      </c>
      <c r="AR54" s="67">
        <f t="shared" si="20"/>
        <v>0</v>
      </c>
      <c r="AS54" s="67">
        <f t="shared" si="20"/>
        <v>0</v>
      </c>
      <c r="AT54" s="67">
        <f t="shared" si="20"/>
        <v>0</v>
      </c>
      <c r="AU54" s="67">
        <f t="shared" si="20"/>
        <v>0</v>
      </c>
      <c r="AV54" s="67">
        <f t="shared" si="20"/>
        <v>0</v>
      </c>
      <c r="AW54" s="67">
        <f t="shared" si="20"/>
        <v>0</v>
      </c>
      <c r="AX54" s="67">
        <f t="shared" si="20"/>
        <v>0</v>
      </c>
      <c r="AY54" s="67">
        <f t="shared" si="20"/>
        <v>0</v>
      </c>
      <c r="AZ54" s="67">
        <f t="shared" si="20"/>
        <v>0</v>
      </c>
      <c r="BA54" s="67">
        <f t="shared" si="20"/>
        <v>0</v>
      </c>
      <c r="BB54" s="67">
        <f t="shared" si="20"/>
        <v>0</v>
      </c>
      <c r="BC54" s="67">
        <f t="shared" si="20"/>
        <v>0</v>
      </c>
      <c r="BD54" s="67">
        <f t="shared" si="20"/>
        <v>0</v>
      </c>
      <c r="BE54" s="67">
        <f t="shared" si="20"/>
        <v>0</v>
      </c>
      <c r="BF54" s="67">
        <f t="shared" si="20"/>
        <v>0</v>
      </c>
      <c r="BG54" s="67">
        <f t="shared" si="20"/>
        <v>0</v>
      </c>
      <c r="BH54" s="67">
        <f t="shared" si="20"/>
        <v>0</v>
      </c>
      <c r="BI54" s="67">
        <f t="shared" si="20"/>
        <v>0</v>
      </c>
      <c r="BJ54" s="67">
        <f t="shared" si="20"/>
        <v>0</v>
      </c>
      <c r="BK54" s="67">
        <f t="shared" si="20"/>
        <v>0</v>
      </c>
      <c r="BL54" s="67">
        <f t="shared" si="20"/>
        <v>0</v>
      </c>
      <c r="BM54" s="67">
        <f t="shared" si="20"/>
        <v>0</v>
      </c>
      <c r="BN54" s="67">
        <f t="shared" si="20"/>
        <v>0</v>
      </c>
      <c r="BO54" s="67">
        <f t="shared" si="20"/>
        <v>0</v>
      </c>
      <c r="BP54" s="67">
        <f t="shared" si="20"/>
        <v>0</v>
      </c>
      <c r="BQ54" s="67">
        <f t="shared" si="20"/>
        <v>0</v>
      </c>
      <c r="BR54" s="67">
        <f t="shared" si="20"/>
        <v>0</v>
      </c>
      <c r="BS54" s="67">
        <f t="shared" si="20"/>
        <v>0</v>
      </c>
      <c r="BT54" s="67">
        <f t="shared" si="20"/>
        <v>0</v>
      </c>
      <c r="BU54" s="67">
        <f t="shared" si="20"/>
        <v>0</v>
      </c>
      <c r="BV54" s="67">
        <f t="shared" si="20"/>
        <v>0</v>
      </c>
      <c r="BW54" s="67">
        <f t="shared" si="20"/>
        <v>0</v>
      </c>
      <c r="BX54" s="67">
        <f t="shared" si="20"/>
        <v>0</v>
      </c>
      <c r="BY54" s="67">
        <f aca="true" t="shared" si="21" ref="BY54:DF54">IF(BY51=($B$54+1),$F$54,IF(BY51&lt;=$B$54,$F$54,0))</f>
        <v>0</v>
      </c>
      <c r="BZ54" s="67">
        <f t="shared" si="21"/>
        <v>0</v>
      </c>
      <c r="CA54" s="67">
        <f t="shared" si="21"/>
        <v>0</v>
      </c>
      <c r="CB54" s="67">
        <f t="shared" si="21"/>
        <v>0</v>
      </c>
      <c r="CC54" s="67">
        <f t="shared" si="21"/>
        <v>0</v>
      </c>
      <c r="CD54" s="67">
        <f t="shared" si="21"/>
        <v>0</v>
      </c>
      <c r="CE54" s="67">
        <f t="shared" si="21"/>
        <v>0</v>
      </c>
      <c r="CF54" s="67">
        <f t="shared" si="21"/>
        <v>0</v>
      </c>
      <c r="CG54" s="67">
        <f t="shared" si="21"/>
        <v>0</v>
      </c>
      <c r="CH54" s="67">
        <f t="shared" si="21"/>
        <v>0</v>
      </c>
      <c r="CI54" s="67">
        <f t="shared" si="21"/>
        <v>0</v>
      </c>
      <c r="CJ54" s="67">
        <f t="shared" si="21"/>
        <v>0</v>
      </c>
      <c r="CK54" s="67">
        <f t="shared" si="21"/>
        <v>0</v>
      </c>
      <c r="CL54" s="67">
        <f t="shared" si="21"/>
        <v>0</v>
      </c>
      <c r="CM54" s="67">
        <f t="shared" si="21"/>
        <v>0</v>
      </c>
      <c r="CN54" s="67">
        <f t="shared" si="21"/>
        <v>0</v>
      </c>
      <c r="CO54" s="67">
        <f t="shared" si="21"/>
        <v>0</v>
      </c>
      <c r="CP54" s="67">
        <f t="shared" si="21"/>
        <v>0</v>
      </c>
      <c r="CQ54" s="67">
        <f t="shared" si="21"/>
        <v>0</v>
      </c>
      <c r="CR54" s="67">
        <f t="shared" si="21"/>
        <v>0</v>
      </c>
      <c r="CS54" s="67">
        <f t="shared" si="21"/>
        <v>0</v>
      </c>
      <c r="CT54" s="67">
        <f t="shared" si="21"/>
        <v>0</v>
      </c>
      <c r="CU54" s="67">
        <f t="shared" si="21"/>
        <v>0</v>
      </c>
      <c r="CV54" s="67">
        <f t="shared" si="21"/>
        <v>0</v>
      </c>
      <c r="CW54" s="67">
        <f t="shared" si="21"/>
        <v>0</v>
      </c>
      <c r="CX54" s="67">
        <f t="shared" si="21"/>
        <v>0</v>
      </c>
      <c r="CY54" s="67">
        <f t="shared" si="21"/>
        <v>0</v>
      </c>
      <c r="CZ54" s="67">
        <f t="shared" si="21"/>
        <v>0</v>
      </c>
      <c r="DA54" s="67">
        <f t="shared" si="21"/>
        <v>0</v>
      </c>
      <c r="DB54" s="67">
        <f t="shared" si="21"/>
        <v>0</v>
      </c>
      <c r="DC54" s="67">
        <f t="shared" si="21"/>
        <v>0</v>
      </c>
      <c r="DD54" s="67">
        <f t="shared" si="21"/>
        <v>0</v>
      </c>
      <c r="DE54" s="67">
        <f t="shared" si="21"/>
        <v>0</v>
      </c>
      <c r="DF54" s="67">
        <f t="shared" si="21"/>
        <v>0</v>
      </c>
    </row>
    <row r="55" spans="1:110" ht="18" customHeight="1">
      <c r="A55" s="11" t="s">
        <v>234</v>
      </c>
      <c r="B55" s="11">
        <f>'Farm &amp; Buffer Assumptions'!C89</f>
        <v>15</v>
      </c>
      <c r="C55" s="11" t="s">
        <v>64</v>
      </c>
      <c r="D55" s="11">
        <f>IF('Farm &amp; Buffer Assumptions'!C107=1,Prices!C29*'Farm &amp; Buffer Assumptions'!C90,0)</f>
        <v>0</v>
      </c>
      <c r="E55" s="63">
        <v>1</v>
      </c>
      <c r="F55" s="67">
        <f>E55*D55</f>
        <v>0</v>
      </c>
      <c r="G55" s="227">
        <f>-PV('Farm &amp; Buffer Assumptions'!C74,B55,F55)</f>
        <v>0</v>
      </c>
      <c r="H55" s="151"/>
      <c r="J55" s="11" t="s">
        <v>285</v>
      </c>
      <c r="K55" s="67">
        <f>IF(K51&lt;=$B$55,$F$55,0)</f>
        <v>0</v>
      </c>
      <c r="L55" s="67">
        <f aca="true" t="shared" si="22" ref="L55:BW55">IF(L51&lt;=$B$55,$F$55,0)</f>
        <v>0</v>
      </c>
      <c r="M55" s="67">
        <f t="shared" si="22"/>
        <v>0</v>
      </c>
      <c r="N55" s="67">
        <f t="shared" si="22"/>
        <v>0</v>
      </c>
      <c r="O55" s="67">
        <f t="shared" si="22"/>
        <v>0</v>
      </c>
      <c r="P55" s="67">
        <f t="shared" si="22"/>
        <v>0</v>
      </c>
      <c r="Q55" s="67">
        <f t="shared" si="22"/>
        <v>0</v>
      </c>
      <c r="R55" s="67">
        <f t="shared" si="22"/>
        <v>0</v>
      </c>
      <c r="S55" s="67">
        <f t="shared" si="22"/>
        <v>0</v>
      </c>
      <c r="T55" s="67">
        <f t="shared" si="22"/>
        <v>0</v>
      </c>
      <c r="U55" s="67">
        <f t="shared" si="22"/>
        <v>0</v>
      </c>
      <c r="V55" s="67">
        <f t="shared" si="22"/>
        <v>0</v>
      </c>
      <c r="W55" s="67">
        <f t="shared" si="22"/>
        <v>0</v>
      </c>
      <c r="X55" s="67">
        <f t="shared" si="22"/>
        <v>0</v>
      </c>
      <c r="Y55" s="67">
        <f t="shared" si="22"/>
        <v>0</v>
      </c>
      <c r="Z55" s="67">
        <f t="shared" si="22"/>
        <v>0</v>
      </c>
      <c r="AA55" s="67">
        <f t="shared" si="22"/>
        <v>0</v>
      </c>
      <c r="AB55" s="67">
        <f t="shared" si="22"/>
        <v>0</v>
      </c>
      <c r="AC55" s="67">
        <f t="shared" si="22"/>
        <v>0</v>
      </c>
      <c r="AD55" s="67">
        <f t="shared" si="22"/>
        <v>0</v>
      </c>
      <c r="AE55" s="67">
        <f t="shared" si="22"/>
        <v>0</v>
      </c>
      <c r="AF55" s="67">
        <f t="shared" si="22"/>
        <v>0</v>
      </c>
      <c r="AG55" s="67">
        <f t="shared" si="22"/>
        <v>0</v>
      </c>
      <c r="AH55" s="67">
        <f t="shared" si="22"/>
        <v>0</v>
      </c>
      <c r="AI55" s="67">
        <f t="shared" si="22"/>
        <v>0</v>
      </c>
      <c r="AJ55" s="67">
        <f t="shared" si="22"/>
        <v>0</v>
      </c>
      <c r="AK55" s="67">
        <f t="shared" si="22"/>
        <v>0</v>
      </c>
      <c r="AL55" s="67">
        <f t="shared" si="22"/>
        <v>0</v>
      </c>
      <c r="AM55" s="67">
        <f t="shared" si="22"/>
        <v>0</v>
      </c>
      <c r="AN55" s="67">
        <f t="shared" si="22"/>
        <v>0</v>
      </c>
      <c r="AO55" s="67">
        <f t="shared" si="22"/>
        <v>0</v>
      </c>
      <c r="AP55" s="67">
        <f t="shared" si="22"/>
        <v>0</v>
      </c>
      <c r="AQ55" s="67">
        <f t="shared" si="22"/>
        <v>0</v>
      </c>
      <c r="AR55" s="67">
        <f t="shared" si="22"/>
        <v>0</v>
      </c>
      <c r="AS55" s="67">
        <f t="shared" si="22"/>
        <v>0</v>
      </c>
      <c r="AT55" s="67">
        <f t="shared" si="22"/>
        <v>0</v>
      </c>
      <c r="AU55" s="67">
        <f t="shared" si="22"/>
        <v>0</v>
      </c>
      <c r="AV55" s="67">
        <f t="shared" si="22"/>
        <v>0</v>
      </c>
      <c r="AW55" s="67">
        <f t="shared" si="22"/>
        <v>0</v>
      </c>
      <c r="AX55" s="67">
        <f t="shared" si="22"/>
        <v>0</v>
      </c>
      <c r="AY55" s="67">
        <f t="shared" si="22"/>
        <v>0</v>
      </c>
      <c r="AZ55" s="67">
        <f t="shared" si="22"/>
        <v>0</v>
      </c>
      <c r="BA55" s="67">
        <f t="shared" si="22"/>
        <v>0</v>
      </c>
      <c r="BB55" s="67">
        <f t="shared" si="22"/>
        <v>0</v>
      </c>
      <c r="BC55" s="67">
        <f t="shared" si="22"/>
        <v>0</v>
      </c>
      <c r="BD55" s="67">
        <f t="shared" si="22"/>
        <v>0</v>
      </c>
      <c r="BE55" s="67">
        <f t="shared" si="22"/>
        <v>0</v>
      </c>
      <c r="BF55" s="67">
        <f t="shared" si="22"/>
        <v>0</v>
      </c>
      <c r="BG55" s="67">
        <f t="shared" si="22"/>
        <v>0</v>
      </c>
      <c r="BH55" s="67">
        <f t="shared" si="22"/>
        <v>0</v>
      </c>
      <c r="BI55" s="67">
        <f t="shared" si="22"/>
        <v>0</v>
      </c>
      <c r="BJ55" s="67">
        <f t="shared" si="22"/>
        <v>0</v>
      </c>
      <c r="BK55" s="67">
        <f t="shared" si="22"/>
        <v>0</v>
      </c>
      <c r="BL55" s="67">
        <f t="shared" si="22"/>
        <v>0</v>
      </c>
      <c r="BM55" s="67">
        <f t="shared" si="22"/>
        <v>0</v>
      </c>
      <c r="BN55" s="67">
        <f t="shared" si="22"/>
        <v>0</v>
      </c>
      <c r="BO55" s="67">
        <f t="shared" si="22"/>
        <v>0</v>
      </c>
      <c r="BP55" s="67">
        <f t="shared" si="22"/>
        <v>0</v>
      </c>
      <c r="BQ55" s="67">
        <f t="shared" si="22"/>
        <v>0</v>
      </c>
      <c r="BR55" s="67">
        <f t="shared" si="22"/>
        <v>0</v>
      </c>
      <c r="BS55" s="67">
        <f t="shared" si="22"/>
        <v>0</v>
      </c>
      <c r="BT55" s="67">
        <f t="shared" si="22"/>
        <v>0</v>
      </c>
      <c r="BU55" s="67">
        <f t="shared" si="22"/>
        <v>0</v>
      </c>
      <c r="BV55" s="67">
        <f t="shared" si="22"/>
        <v>0</v>
      </c>
      <c r="BW55" s="67">
        <f t="shared" si="22"/>
        <v>0</v>
      </c>
      <c r="BX55" s="67">
        <f aca="true" t="shared" si="23" ref="BX55:DF55">IF(BX51&lt;=$B$55,$F$55,0)</f>
        <v>0</v>
      </c>
      <c r="BY55" s="67">
        <f t="shared" si="23"/>
        <v>0</v>
      </c>
      <c r="BZ55" s="67">
        <f t="shared" si="23"/>
        <v>0</v>
      </c>
      <c r="CA55" s="67">
        <f t="shared" si="23"/>
        <v>0</v>
      </c>
      <c r="CB55" s="67">
        <f t="shared" si="23"/>
        <v>0</v>
      </c>
      <c r="CC55" s="67">
        <f t="shared" si="23"/>
        <v>0</v>
      </c>
      <c r="CD55" s="67">
        <f t="shared" si="23"/>
        <v>0</v>
      </c>
      <c r="CE55" s="67">
        <f t="shared" si="23"/>
        <v>0</v>
      </c>
      <c r="CF55" s="67">
        <f t="shared" si="23"/>
        <v>0</v>
      </c>
      <c r="CG55" s="67">
        <f t="shared" si="23"/>
        <v>0</v>
      </c>
      <c r="CH55" s="67">
        <f t="shared" si="23"/>
        <v>0</v>
      </c>
      <c r="CI55" s="67">
        <f t="shared" si="23"/>
        <v>0</v>
      </c>
      <c r="CJ55" s="67">
        <f t="shared" si="23"/>
        <v>0</v>
      </c>
      <c r="CK55" s="67">
        <f t="shared" si="23"/>
        <v>0</v>
      </c>
      <c r="CL55" s="67">
        <f t="shared" si="23"/>
        <v>0</v>
      </c>
      <c r="CM55" s="67">
        <f t="shared" si="23"/>
        <v>0</v>
      </c>
      <c r="CN55" s="67">
        <f t="shared" si="23"/>
        <v>0</v>
      </c>
      <c r="CO55" s="67">
        <f t="shared" si="23"/>
        <v>0</v>
      </c>
      <c r="CP55" s="67">
        <f t="shared" si="23"/>
        <v>0</v>
      </c>
      <c r="CQ55" s="67">
        <f t="shared" si="23"/>
        <v>0</v>
      </c>
      <c r="CR55" s="67">
        <f t="shared" si="23"/>
        <v>0</v>
      </c>
      <c r="CS55" s="67">
        <f t="shared" si="23"/>
        <v>0</v>
      </c>
      <c r="CT55" s="67">
        <f t="shared" si="23"/>
        <v>0</v>
      </c>
      <c r="CU55" s="67">
        <f t="shared" si="23"/>
        <v>0</v>
      </c>
      <c r="CV55" s="67">
        <f t="shared" si="23"/>
        <v>0</v>
      </c>
      <c r="CW55" s="67">
        <f t="shared" si="23"/>
        <v>0</v>
      </c>
      <c r="CX55" s="67">
        <f t="shared" si="23"/>
        <v>0</v>
      </c>
      <c r="CY55" s="67">
        <f t="shared" si="23"/>
        <v>0</v>
      </c>
      <c r="CZ55" s="67">
        <f t="shared" si="23"/>
        <v>0</v>
      </c>
      <c r="DA55" s="67">
        <f t="shared" si="23"/>
        <v>0</v>
      </c>
      <c r="DB55" s="67">
        <f t="shared" si="23"/>
        <v>0</v>
      </c>
      <c r="DC55" s="67">
        <f t="shared" si="23"/>
        <v>0</v>
      </c>
      <c r="DD55" s="67">
        <f t="shared" si="23"/>
        <v>0</v>
      </c>
      <c r="DE55" s="67">
        <f t="shared" si="23"/>
        <v>0</v>
      </c>
      <c r="DF55" s="67">
        <f t="shared" si="23"/>
        <v>0</v>
      </c>
    </row>
    <row r="56" spans="1:110" ht="18" customHeight="1">
      <c r="A56" s="11" t="s">
        <v>86</v>
      </c>
      <c r="B56" s="11">
        <v>1</v>
      </c>
      <c r="C56" s="11" t="s">
        <v>64</v>
      </c>
      <c r="D56" s="11">
        <f>IF('Farm &amp; Buffer Assumptions'!C108=1,'Farm &amp; Buffer Assumptions'!C91,0)</f>
        <v>0</v>
      </c>
      <c r="E56" s="63">
        <v>1</v>
      </c>
      <c r="F56" s="67">
        <f>E56*D56</f>
        <v>0</v>
      </c>
      <c r="G56" s="227">
        <f>F56</f>
        <v>0</v>
      </c>
      <c r="H56" s="151"/>
      <c r="J56" s="11" t="s">
        <v>286</v>
      </c>
      <c r="K56" s="67">
        <f>F56</f>
        <v>0</v>
      </c>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row>
    <row r="57" spans="1:110" ht="18" customHeight="1">
      <c r="A57" s="13" t="s">
        <v>425</v>
      </c>
      <c r="B57" s="13" t="s">
        <v>205</v>
      </c>
      <c r="C57" s="13" t="s">
        <v>48</v>
      </c>
      <c r="D57" s="13">
        <f>Prices!C7</f>
        <v>135</v>
      </c>
      <c r="E57" s="167">
        <f>'Farm &amp; Buffer Assumptions'!C75</f>
        <v>2.4</v>
      </c>
      <c r="F57" s="168">
        <f>E57*D57</f>
        <v>324</v>
      </c>
      <c r="G57" s="228">
        <f>(F57/'Farm &amp; Buffer Assumptions'!C74)</f>
        <v>8100</v>
      </c>
      <c r="H57" s="151"/>
      <c r="J57" s="13" t="s">
        <v>300</v>
      </c>
      <c r="K57" s="67">
        <f>$F$57</f>
        <v>324</v>
      </c>
      <c r="L57" s="67">
        <f>$F$57</f>
        <v>324</v>
      </c>
      <c r="M57" s="67">
        <f aca="true" t="shared" si="24" ref="M57:BX57">$F$57</f>
        <v>324</v>
      </c>
      <c r="N57" s="67">
        <f t="shared" si="24"/>
        <v>324</v>
      </c>
      <c r="O57" s="67">
        <f t="shared" si="24"/>
        <v>324</v>
      </c>
      <c r="P57" s="67">
        <f t="shared" si="24"/>
        <v>324</v>
      </c>
      <c r="Q57" s="67">
        <f t="shared" si="24"/>
        <v>324</v>
      </c>
      <c r="R57" s="67">
        <f t="shared" si="24"/>
        <v>324</v>
      </c>
      <c r="S57" s="67">
        <f t="shared" si="24"/>
        <v>324</v>
      </c>
      <c r="T57" s="67">
        <f t="shared" si="24"/>
        <v>324</v>
      </c>
      <c r="U57" s="67">
        <f t="shared" si="24"/>
        <v>324</v>
      </c>
      <c r="V57" s="67">
        <f t="shared" si="24"/>
        <v>324</v>
      </c>
      <c r="W57" s="67">
        <f t="shared" si="24"/>
        <v>324</v>
      </c>
      <c r="X57" s="67">
        <f t="shared" si="24"/>
        <v>324</v>
      </c>
      <c r="Y57" s="67">
        <f t="shared" si="24"/>
        <v>324</v>
      </c>
      <c r="Z57" s="67">
        <f t="shared" si="24"/>
        <v>324</v>
      </c>
      <c r="AA57" s="67">
        <f t="shared" si="24"/>
        <v>324</v>
      </c>
      <c r="AB57" s="67">
        <f t="shared" si="24"/>
        <v>324</v>
      </c>
      <c r="AC57" s="67">
        <f t="shared" si="24"/>
        <v>324</v>
      </c>
      <c r="AD57" s="67">
        <f t="shared" si="24"/>
        <v>324</v>
      </c>
      <c r="AE57" s="67">
        <f t="shared" si="24"/>
        <v>324</v>
      </c>
      <c r="AF57" s="67">
        <f t="shared" si="24"/>
        <v>324</v>
      </c>
      <c r="AG57" s="67">
        <f t="shared" si="24"/>
        <v>324</v>
      </c>
      <c r="AH57" s="67">
        <f t="shared" si="24"/>
        <v>324</v>
      </c>
      <c r="AI57" s="67">
        <f t="shared" si="24"/>
        <v>324</v>
      </c>
      <c r="AJ57" s="67">
        <f t="shared" si="24"/>
        <v>324</v>
      </c>
      <c r="AK57" s="67">
        <f t="shared" si="24"/>
        <v>324</v>
      </c>
      <c r="AL57" s="67">
        <f t="shared" si="24"/>
        <v>324</v>
      </c>
      <c r="AM57" s="67">
        <f t="shared" si="24"/>
        <v>324</v>
      </c>
      <c r="AN57" s="67">
        <f t="shared" si="24"/>
        <v>324</v>
      </c>
      <c r="AO57" s="67">
        <f t="shared" si="24"/>
        <v>324</v>
      </c>
      <c r="AP57" s="67">
        <f t="shared" si="24"/>
        <v>324</v>
      </c>
      <c r="AQ57" s="67">
        <f t="shared" si="24"/>
        <v>324</v>
      </c>
      <c r="AR57" s="67">
        <f t="shared" si="24"/>
        <v>324</v>
      </c>
      <c r="AS57" s="67">
        <f t="shared" si="24"/>
        <v>324</v>
      </c>
      <c r="AT57" s="67">
        <f t="shared" si="24"/>
        <v>324</v>
      </c>
      <c r="AU57" s="67">
        <f t="shared" si="24"/>
        <v>324</v>
      </c>
      <c r="AV57" s="67">
        <f t="shared" si="24"/>
        <v>324</v>
      </c>
      <c r="AW57" s="67">
        <f t="shared" si="24"/>
        <v>324</v>
      </c>
      <c r="AX57" s="67">
        <f t="shared" si="24"/>
        <v>324</v>
      </c>
      <c r="AY57" s="67">
        <f t="shared" si="24"/>
        <v>324</v>
      </c>
      <c r="AZ57" s="67">
        <f t="shared" si="24"/>
        <v>324</v>
      </c>
      <c r="BA57" s="67">
        <f t="shared" si="24"/>
        <v>324</v>
      </c>
      <c r="BB57" s="67">
        <f t="shared" si="24"/>
        <v>324</v>
      </c>
      <c r="BC57" s="67">
        <f t="shared" si="24"/>
        <v>324</v>
      </c>
      <c r="BD57" s="67">
        <f t="shared" si="24"/>
        <v>324</v>
      </c>
      <c r="BE57" s="67">
        <f t="shared" si="24"/>
        <v>324</v>
      </c>
      <c r="BF57" s="67">
        <f t="shared" si="24"/>
        <v>324</v>
      </c>
      <c r="BG57" s="67">
        <f t="shared" si="24"/>
        <v>324</v>
      </c>
      <c r="BH57" s="67">
        <f t="shared" si="24"/>
        <v>324</v>
      </c>
      <c r="BI57" s="67">
        <f t="shared" si="24"/>
        <v>324</v>
      </c>
      <c r="BJ57" s="67">
        <f t="shared" si="24"/>
        <v>324</v>
      </c>
      <c r="BK57" s="67">
        <f t="shared" si="24"/>
        <v>324</v>
      </c>
      <c r="BL57" s="67">
        <f t="shared" si="24"/>
        <v>324</v>
      </c>
      <c r="BM57" s="67">
        <f t="shared" si="24"/>
        <v>324</v>
      </c>
      <c r="BN57" s="67">
        <f t="shared" si="24"/>
        <v>324</v>
      </c>
      <c r="BO57" s="67">
        <f t="shared" si="24"/>
        <v>324</v>
      </c>
      <c r="BP57" s="67">
        <f t="shared" si="24"/>
        <v>324</v>
      </c>
      <c r="BQ57" s="67">
        <f t="shared" si="24"/>
        <v>324</v>
      </c>
      <c r="BR57" s="67">
        <f t="shared" si="24"/>
        <v>324</v>
      </c>
      <c r="BS57" s="67">
        <f t="shared" si="24"/>
        <v>324</v>
      </c>
      <c r="BT57" s="67">
        <f t="shared" si="24"/>
        <v>324</v>
      </c>
      <c r="BU57" s="67">
        <f t="shared" si="24"/>
        <v>324</v>
      </c>
      <c r="BV57" s="67">
        <f t="shared" si="24"/>
        <v>324</v>
      </c>
      <c r="BW57" s="67">
        <f t="shared" si="24"/>
        <v>324</v>
      </c>
      <c r="BX57" s="67">
        <f t="shared" si="24"/>
        <v>324</v>
      </c>
      <c r="BY57" s="67">
        <f aca="true" t="shared" si="25" ref="BY57:DF57">$F$57</f>
        <v>324</v>
      </c>
      <c r="BZ57" s="67">
        <f t="shared" si="25"/>
        <v>324</v>
      </c>
      <c r="CA57" s="67">
        <f t="shared" si="25"/>
        <v>324</v>
      </c>
      <c r="CB57" s="67">
        <f t="shared" si="25"/>
        <v>324</v>
      </c>
      <c r="CC57" s="67">
        <f t="shared" si="25"/>
        <v>324</v>
      </c>
      <c r="CD57" s="67">
        <f t="shared" si="25"/>
        <v>324</v>
      </c>
      <c r="CE57" s="67">
        <f t="shared" si="25"/>
        <v>324</v>
      </c>
      <c r="CF57" s="67">
        <f t="shared" si="25"/>
        <v>324</v>
      </c>
      <c r="CG57" s="67">
        <f t="shared" si="25"/>
        <v>324</v>
      </c>
      <c r="CH57" s="67">
        <f t="shared" si="25"/>
        <v>324</v>
      </c>
      <c r="CI57" s="67">
        <f t="shared" si="25"/>
        <v>324</v>
      </c>
      <c r="CJ57" s="67">
        <f t="shared" si="25"/>
        <v>324</v>
      </c>
      <c r="CK57" s="67">
        <f t="shared" si="25"/>
        <v>324</v>
      </c>
      <c r="CL57" s="67">
        <f t="shared" si="25"/>
        <v>324</v>
      </c>
      <c r="CM57" s="67">
        <f t="shared" si="25"/>
        <v>324</v>
      </c>
      <c r="CN57" s="67">
        <f t="shared" si="25"/>
        <v>324</v>
      </c>
      <c r="CO57" s="67">
        <f t="shared" si="25"/>
        <v>324</v>
      </c>
      <c r="CP57" s="67">
        <f t="shared" si="25"/>
        <v>324</v>
      </c>
      <c r="CQ57" s="67">
        <f t="shared" si="25"/>
        <v>324</v>
      </c>
      <c r="CR57" s="67">
        <f t="shared" si="25"/>
        <v>324</v>
      </c>
      <c r="CS57" s="67">
        <f t="shared" si="25"/>
        <v>324</v>
      </c>
      <c r="CT57" s="67">
        <f t="shared" si="25"/>
        <v>324</v>
      </c>
      <c r="CU57" s="67">
        <f t="shared" si="25"/>
        <v>324</v>
      </c>
      <c r="CV57" s="67">
        <f t="shared" si="25"/>
        <v>324</v>
      </c>
      <c r="CW57" s="67">
        <f t="shared" si="25"/>
        <v>324</v>
      </c>
      <c r="CX57" s="67">
        <f t="shared" si="25"/>
        <v>324</v>
      </c>
      <c r="CY57" s="67">
        <f t="shared" si="25"/>
        <v>324</v>
      </c>
      <c r="CZ57" s="67">
        <f t="shared" si="25"/>
        <v>324</v>
      </c>
      <c r="DA57" s="67">
        <f t="shared" si="25"/>
        <v>324</v>
      </c>
      <c r="DB57" s="67">
        <f t="shared" si="25"/>
        <v>324</v>
      </c>
      <c r="DC57" s="67">
        <f t="shared" si="25"/>
        <v>324</v>
      </c>
      <c r="DD57" s="67">
        <f t="shared" si="25"/>
        <v>324</v>
      </c>
      <c r="DE57" s="67">
        <f t="shared" si="25"/>
        <v>324</v>
      </c>
      <c r="DF57" s="67">
        <f t="shared" si="25"/>
        <v>324</v>
      </c>
    </row>
    <row r="58" spans="1:110" ht="18" customHeight="1">
      <c r="A58" s="170" t="s">
        <v>209</v>
      </c>
      <c r="B58" s="170"/>
      <c r="C58" s="171"/>
      <c r="D58" s="171"/>
      <c r="E58" s="171"/>
      <c r="F58" s="172">
        <f>SUM(F53:F57)</f>
        <v>324</v>
      </c>
      <c r="G58" s="229">
        <f>SUM(G53:G57)</f>
        <v>8100</v>
      </c>
      <c r="H58" s="154"/>
      <c r="J58" s="11" t="s">
        <v>281</v>
      </c>
      <c r="K58" s="67">
        <f>F65</f>
        <v>1120</v>
      </c>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row>
    <row r="59" spans="1:110" ht="28.5" customHeight="1">
      <c r="A59" s="1"/>
      <c r="B59" s="1"/>
      <c r="C59" s="1"/>
      <c r="D59" s="1"/>
      <c r="E59" s="1"/>
      <c r="F59" s="14"/>
      <c r="G59" s="230"/>
      <c r="H59" s="151"/>
      <c r="J59" s="13" t="s">
        <v>379</v>
      </c>
      <c r="K59" s="11">
        <v>0</v>
      </c>
      <c r="L59" s="67">
        <f>SUM($F$68:$F$69)</f>
        <v>186</v>
      </c>
      <c r="M59" s="67">
        <f aca="true" t="shared" si="26" ref="M59:BY59">SUM($F$68:$F$69)</f>
        <v>186</v>
      </c>
      <c r="N59" s="67">
        <f t="shared" si="26"/>
        <v>186</v>
      </c>
      <c r="O59" s="67">
        <f t="shared" si="26"/>
        <v>186</v>
      </c>
      <c r="P59" s="67">
        <f>SUM($F$68:$F$71)</f>
        <v>266</v>
      </c>
      <c r="Q59" s="67">
        <f t="shared" si="26"/>
        <v>186</v>
      </c>
      <c r="R59" s="67">
        <f t="shared" si="26"/>
        <v>186</v>
      </c>
      <c r="S59" s="67">
        <f t="shared" si="26"/>
        <v>186</v>
      </c>
      <c r="T59" s="67">
        <f t="shared" si="26"/>
        <v>186</v>
      </c>
      <c r="U59" s="67">
        <f>SUM($F$68:$F$71)</f>
        <v>266</v>
      </c>
      <c r="V59" s="67">
        <f t="shared" si="26"/>
        <v>186</v>
      </c>
      <c r="W59" s="67">
        <f t="shared" si="26"/>
        <v>186</v>
      </c>
      <c r="X59" s="67">
        <f t="shared" si="26"/>
        <v>186</v>
      </c>
      <c r="Y59" s="67">
        <f t="shared" si="26"/>
        <v>186</v>
      </c>
      <c r="Z59" s="67">
        <f>SUM($F$68:$F$71)</f>
        <v>266</v>
      </c>
      <c r="AA59" s="67">
        <f t="shared" si="26"/>
        <v>186</v>
      </c>
      <c r="AB59" s="67">
        <f t="shared" si="26"/>
        <v>186</v>
      </c>
      <c r="AC59" s="67">
        <f t="shared" si="26"/>
        <v>186</v>
      </c>
      <c r="AD59" s="67">
        <f t="shared" si="26"/>
        <v>186</v>
      </c>
      <c r="AE59" s="67">
        <f>SUM($F$68:$F$71)</f>
        <v>266</v>
      </c>
      <c r="AF59" s="67">
        <f t="shared" si="26"/>
        <v>186</v>
      </c>
      <c r="AG59" s="67">
        <f t="shared" si="26"/>
        <v>186</v>
      </c>
      <c r="AH59" s="67">
        <f t="shared" si="26"/>
        <v>186</v>
      </c>
      <c r="AI59" s="67">
        <f t="shared" si="26"/>
        <v>186</v>
      </c>
      <c r="AJ59" s="67">
        <f>SUM($F$68:$F$71)</f>
        <v>266</v>
      </c>
      <c r="AK59" s="67">
        <f t="shared" si="26"/>
        <v>186</v>
      </c>
      <c r="AL59" s="67">
        <f t="shared" si="26"/>
        <v>186</v>
      </c>
      <c r="AM59" s="67">
        <f t="shared" si="26"/>
        <v>186</v>
      </c>
      <c r="AN59" s="67">
        <f t="shared" si="26"/>
        <v>186</v>
      </c>
      <c r="AO59" s="67">
        <f>SUM($F$68:$F$71)</f>
        <v>266</v>
      </c>
      <c r="AP59" s="67">
        <f t="shared" si="26"/>
        <v>186</v>
      </c>
      <c r="AQ59" s="67">
        <f t="shared" si="26"/>
        <v>186</v>
      </c>
      <c r="AR59" s="67">
        <f t="shared" si="26"/>
        <v>186</v>
      </c>
      <c r="AS59" s="67">
        <f t="shared" si="26"/>
        <v>186</v>
      </c>
      <c r="AT59" s="67">
        <f>SUM($F$68:$F$71)</f>
        <v>266</v>
      </c>
      <c r="AU59" s="67">
        <f t="shared" si="26"/>
        <v>186</v>
      </c>
      <c r="AV59" s="67">
        <f t="shared" si="26"/>
        <v>186</v>
      </c>
      <c r="AW59" s="67">
        <f t="shared" si="26"/>
        <v>186</v>
      </c>
      <c r="AX59" s="67">
        <f t="shared" si="26"/>
        <v>186</v>
      </c>
      <c r="AY59" s="67">
        <f>SUM($F$68:$F$71)</f>
        <v>266</v>
      </c>
      <c r="AZ59" s="67">
        <f t="shared" si="26"/>
        <v>186</v>
      </c>
      <c r="BA59" s="67">
        <f t="shared" si="26"/>
        <v>186</v>
      </c>
      <c r="BB59" s="67">
        <f t="shared" si="26"/>
        <v>186</v>
      </c>
      <c r="BC59" s="67">
        <f t="shared" si="26"/>
        <v>186</v>
      </c>
      <c r="BD59" s="67">
        <f>SUM($F$68:$F$71)</f>
        <v>266</v>
      </c>
      <c r="BE59" s="67">
        <f t="shared" si="26"/>
        <v>186</v>
      </c>
      <c r="BF59" s="67">
        <f t="shared" si="26"/>
        <v>186</v>
      </c>
      <c r="BG59" s="67">
        <f t="shared" si="26"/>
        <v>186</v>
      </c>
      <c r="BH59" s="67">
        <f t="shared" si="26"/>
        <v>186</v>
      </c>
      <c r="BI59" s="67">
        <f>SUM($F$68:$F$71)</f>
        <v>266</v>
      </c>
      <c r="BJ59" s="67">
        <f t="shared" si="26"/>
        <v>186</v>
      </c>
      <c r="BK59" s="67">
        <f t="shared" si="26"/>
        <v>186</v>
      </c>
      <c r="BL59" s="67">
        <f t="shared" si="26"/>
        <v>186</v>
      </c>
      <c r="BM59" s="67">
        <f t="shared" si="26"/>
        <v>186</v>
      </c>
      <c r="BN59" s="67">
        <f>SUM($F$68:$F$71)</f>
        <v>266</v>
      </c>
      <c r="BO59" s="67">
        <f t="shared" si="26"/>
        <v>186</v>
      </c>
      <c r="BP59" s="67">
        <f t="shared" si="26"/>
        <v>186</v>
      </c>
      <c r="BQ59" s="67">
        <f t="shared" si="26"/>
        <v>186</v>
      </c>
      <c r="BR59" s="67">
        <f t="shared" si="26"/>
        <v>186</v>
      </c>
      <c r="BS59" s="67">
        <f>SUM($F$68:$F$71)</f>
        <v>266</v>
      </c>
      <c r="BT59" s="67">
        <f t="shared" si="26"/>
        <v>186</v>
      </c>
      <c r="BU59" s="67">
        <f t="shared" si="26"/>
        <v>186</v>
      </c>
      <c r="BV59" s="67">
        <f t="shared" si="26"/>
        <v>186</v>
      </c>
      <c r="BW59" s="67">
        <f t="shared" si="26"/>
        <v>186</v>
      </c>
      <c r="BX59" s="67">
        <f>SUM($F$68:$F$71)</f>
        <v>266</v>
      </c>
      <c r="BY59" s="67">
        <f t="shared" si="26"/>
        <v>186</v>
      </c>
      <c r="BZ59" s="67">
        <f>SUM($F$68:$F$69)</f>
        <v>186</v>
      </c>
      <c r="CA59" s="67">
        <f>SUM($F$68:$F$69)</f>
        <v>186</v>
      </c>
      <c r="CB59" s="67">
        <f>SUM($F$68:$F$69)</f>
        <v>186</v>
      </c>
      <c r="CC59" s="67">
        <f>SUM($F$68:$F$71)</f>
        <v>266</v>
      </c>
      <c r="CD59" s="67">
        <f>SUM($F$68:$F$69)</f>
        <v>186</v>
      </c>
      <c r="CE59" s="67">
        <f>SUM($F$68:$F$69)</f>
        <v>186</v>
      </c>
      <c r="CF59" s="67">
        <f>SUM($F$68:$F$69)</f>
        <v>186</v>
      </c>
      <c r="CG59" s="67">
        <f>SUM($F$68:$F$69)</f>
        <v>186</v>
      </c>
      <c r="CH59" s="67">
        <f>SUM($F$68:$F$71)</f>
        <v>266</v>
      </c>
      <c r="CI59" s="67">
        <f>SUM($F$68:$F$69)</f>
        <v>186</v>
      </c>
      <c r="CJ59" s="67">
        <f>SUM($F$68:$F$69)</f>
        <v>186</v>
      </c>
      <c r="CK59" s="67">
        <f>SUM($F$68:$F$69)</f>
        <v>186</v>
      </c>
      <c r="CL59" s="67">
        <f>SUM($F$68:$F$69)</f>
        <v>186</v>
      </c>
      <c r="CM59" s="67">
        <f>SUM($F$68:$F$71)</f>
        <v>266</v>
      </c>
      <c r="CN59" s="67">
        <f>SUM($F$68:$F$69)</f>
        <v>186</v>
      </c>
      <c r="CO59" s="67">
        <f>SUM($F$68:$F$69)</f>
        <v>186</v>
      </c>
      <c r="CP59" s="67">
        <f>SUM($F$68:$F$69)</f>
        <v>186</v>
      </c>
      <c r="CQ59" s="67">
        <f>SUM($F$68:$F$69)</f>
        <v>186</v>
      </c>
      <c r="CR59" s="67">
        <f>SUM($F$68:$F$71)</f>
        <v>266</v>
      </c>
      <c r="CS59" s="67">
        <f>SUM($F$68:$F$69)</f>
        <v>186</v>
      </c>
      <c r="CT59" s="67">
        <f>SUM($F$68:$F$69)</f>
        <v>186</v>
      </c>
      <c r="CU59" s="67">
        <f>SUM($F$68:$F$69)</f>
        <v>186</v>
      </c>
      <c r="CV59" s="67">
        <f>SUM($F$68:$F$69)</f>
        <v>186</v>
      </c>
      <c r="CW59" s="67">
        <f>SUM($F$68:$F$71)</f>
        <v>266</v>
      </c>
      <c r="CX59" s="67">
        <f>SUM($F$68:$F$69)</f>
        <v>186</v>
      </c>
      <c r="CY59" s="67">
        <f>SUM($F$68:$F$69)</f>
        <v>186</v>
      </c>
      <c r="CZ59" s="67">
        <f>SUM($F$68:$F$69)</f>
        <v>186</v>
      </c>
      <c r="DA59" s="67">
        <f>SUM($F$68:$F$69)</f>
        <v>186</v>
      </c>
      <c r="DB59" s="67">
        <f>SUM($F$68:$F$71)</f>
        <v>266</v>
      </c>
      <c r="DC59" s="67">
        <f>SUM($F$68:$F$69)</f>
        <v>186</v>
      </c>
      <c r="DD59" s="67">
        <f>SUM($F$68:$F$69)</f>
        <v>186</v>
      </c>
      <c r="DE59" s="67">
        <f>SUM($F$68:$F$69)</f>
        <v>186</v>
      </c>
      <c r="DF59" s="67">
        <f>SUM($F$68:$F$69)</f>
        <v>186</v>
      </c>
    </row>
    <row r="60" spans="1:110" ht="24" customHeight="1">
      <c r="A60" s="642" t="s">
        <v>210</v>
      </c>
      <c r="B60" s="642"/>
      <c r="C60" s="643"/>
      <c r="D60" s="643"/>
      <c r="E60" s="643"/>
      <c r="F60" s="644"/>
      <c r="G60" s="644"/>
      <c r="H60" s="689"/>
      <c r="J60" s="204" t="s">
        <v>280</v>
      </c>
      <c r="K60" s="33">
        <f>SUM(K53:K57)-SUM(K58:K59)</f>
        <v>-796</v>
      </c>
      <c r="L60" s="33">
        <f aca="true" t="shared" si="27" ref="L60:BW60">SUM(L53:L57)-SUM(L58:L59)</f>
        <v>138</v>
      </c>
      <c r="M60" s="33">
        <f t="shared" si="27"/>
        <v>138</v>
      </c>
      <c r="N60" s="33">
        <f t="shared" si="27"/>
        <v>138</v>
      </c>
      <c r="O60" s="33">
        <f t="shared" si="27"/>
        <v>138</v>
      </c>
      <c r="P60" s="33">
        <f t="shared" si="27"/>
        <v>58</v>
      </c>
      <c r="Q60" s="33">
        <f t="shared" si="27"/>
        <v>138</v>
      </c>
      <c r="R60" s="33">
        <f t="shared" si="27"/>
        <v>138</v>
      </c>
      <c r="S60" s="33">
        <f t="shared" si="27"/>
        <v>138</v>
      </c>
      <c r="T60" s="33">
        <f t="shared" si="27"/>
        <v>138</v>
      </c>
      <c r="U60" s="33">
        <f t="shared" si="27"/>
        <v>58</v>
      </c>
      <c r="V60" s="33">
        <f t="shared" si="27"/>
        <v>138</v>
      </c>
      <c r="W60" s="33">
        <f t="shared" si="27"/>
        <v>138</v>
      </c>
      <c r="X60" s="33">
        <f t="shared" si="27"/>
        <v>138</v>
      </c>
      <c r="Y60" s="33">
        <f t="shared" si="27"/>
        <v>138</v>
      </c>
      <c r="Z60" s="33">
        <f t="shared" si="27"/>
        <v>58</v>
      </c>
      <c r="AA60" s="33">
        <f t="shared" si="27"/>
        <v>138</v>
      </c>
      <c r="AB60" s="33">
        <f t="shared" si="27"/>
        <v>138</v>
      </c>
      <c r="AC60" s="33">
        <f t="shared" si="27"/>
        <v>138</v>
      </c>
      <c r="AD60" s="33">
        <f t="shared" si="27"/>
        <v>138</v>
      </c>
      <c r="AE60" s="33">
        <f t="shared" si="27"/>
        <v>58</v>
      </c>
      <c r="AF60" s="33">
        <f t="shared" si="27"/>
        <v>138</v>
      </c>
      <c r="AG60" s="33">
        <f t="shared" si="27"/>
        <v>138</v>
      </c>
      <c r="AH60" s="33">
        <f t="shared" si="27"/>
        <v>138</v>
      </c>
      <c r="AI60" s="33">
        <f t="shared" si="27"/>
        <v>138</v>
      </c>
      <c r="AJ60" s="33">
        <f t="shared" si="27"/>
        <v>58</v>
      </c>
      <c r="AK60" s="33">
        <f t="shared" si="27"/>
        <v>138</v>
      </c>
      <c r="AL60" s="33">
        <f t="shared" si="27"/>
        <v>138</v>
      </c>
      <c r="AM60" s="33">
        <f t="shared" si="27"/>
        <v>138</v>
      </c>
      <c r="AN60" s="33">
        <f t="shared" si="27"/>
        <v>138</v>
      </c>
      <c r="AO60" s="33">
        <f t="shared" si="27"/>
        <v>58</v>
      </c>
      <c r="AP60" s="33">
        <f t="shared" si="27"/>
        <v>138</v>
      </c>
      <c r="AQ60" s="33">
        <f t="shared" si="27"/>
        <v>138</v>
      </c>
      <c r="AR60" s="33">
        <f t="shared" si="27"/>
        <v>138</v>
      </c>
      <c r="AS60" s="33">
        <f t="shared" si="27"/>
        <v>138</v>
      </c>
      <c r="AT60" s="33">
        <f t="shared" si="27"/>
        <v>58</v>
      </c>
      <c r="AU60" s="33">
        <f t="shared" si="27"/>
        <v>138</v>
      </c>
      <c r="AV60" s="33">
        <f t="shared" si="27"/>
        <v>138</v>
      </c>
      <c r="AW60" s="33">
        <f t="shared" si="27"/>
        <v>138</v>
      </c>
      <c r="AX60" s="33">
        <f t="shared" si="27"/>
        <v>138</v>
      </c>
      <c r="AY60" s="33">
        <f t="shared" si="27"/>
        <v>58</v>
      </c>
      <c r="AZ60" s="33">
        <f t="shared" si="27"/>
        <v>138</v>
      </c>
      <c r="BA60" s="33">
        <f t="shared" si="27"/>
        <v>138</v>
      </c>
      <c r="BB60" s="33">
        <f t="shared" si="27"/>
        <v>138</v>
      </c>
      <c r="BC60" s="33">
        <f t="shared" si="27"/>
        <v>138</v>
      </c>
      <c r="BD60" s="33">
        <f t="shared" si="27"/>
        <v>58</v>
      </c>
      <c r="BE60" s="33">
        <f t="shared" si="27"/>
        <v>138</v>
      </c>
      <c r="BF60" s="33">
        <f t="shared" si="27"/>
        <v>138</v>
      </c>
      <c r="BG60" s="33">
        <f t="shared" si="27"/>
        <v>138</v>
      </c>
      <c r="BH60" s="33">
        <f t="shared" si="27"/>
        <v>138</v>
      </c>
      <c r="BI60" s="33">
        <f t="shared" si="27"/>
        <v>58</v>
      </c>
      <c r="BJ60" s="33">
        <f t="shared" si="27"/>
        <v>138</v>
      </c>
      <c r="BK60" s="33">
        <f t="shared" si="27"/>
        <v>138</v>
      </c>
      <c r="BL60" s="33">
        <f t="shared" si="27"/>
        <v>138</v>
      </c>
      <c r="BM60" s="33">
        <f t="shared" si="27"/>
        <v>138</v>
      </c>
      <c r="BN60" s="33">
        <f t="shared" si="27"/>
        <v>58</v>
      </c>
      <c r="BO60" s="33">
        <f t="shared" si="27"/>
        <v>138</v>
      </c>
      <c r="BP60" s="33">
        <f t="shared" si="27"/>
        <v>138</v>
      </c>
      <c r="BQ60" s="33">
        <f t="shared" si="27"/>
        <v>138</v>
      </c>
      <c r="BR60" s="33">
        <f t="shared" si="27"/>
        <v>138</v>
      </c>
      <c r="BS60" s="33">
        <f t="shared" si="27"/>
        <v>58</v>
      </c>
      <c r="BT60" s="33">
        <f t="shared" si="27"/>
        <v>138</v>
      </c>
      <c r="BU60" s="33">
        <f t="shared" si="27"/>
        <v>138</v>
      </c>
      <c r="BV60" s="33">
        <f t="shared" si="27"/>
        <v>138</v>
      </c>
      <c r="BW60" s="33">
        <f t="shared" si="27"/>
        <v>138</v>
      </c>
      <c r="BX60" s="33">
        <f aca="true" t="shared" si="28" ref="BX60:DF60">SUM(BX53:BX57)-SUM(BX58:BX59)</f>
        <v>58</v>
      </c>
      <c r="BY60" s="33">
        <f t="shared" si="28"/>
        <v>138</v>
      </c>
      <c r="BZ60" s="33">
        <f t="shared" si="28"/>
        <v>138</v>
      </c>
      <c r="CA60" s="33">
        <f t="shared" si="28"/>
        <v>138</v>
      </c>
      <c r="CB60" s="33">
        <f t="shared" si="28"/>
        <v>138</v>
      </c>
      <c r="CC60" s="33">
        <f t="shared" si="28"/>
        <v>58</v>
      </c>
      <c r="CD60" s="33">
        <f t="shared" si="28"/>
        <v>138</v>
      </c>
      <c r="CE60" s="33">
        <f t="shared" si="28"/>
        <v>138</v>
      </c>
      <c r="CF60" s="33">
        <f t="shared" si="28"/>
        <v>138</v>
      </c>
      <c r="CG60" s="33">
        <f t="shared" si="28"/>
        <v>138</v>
      </c>
      <c r="CH60" s="33">
        <f t="shared" si="28"/>
        <v>58</v>
      </c>
      <c r="CI60" s="33">
        <f t="shared" si="28"/>
        <v>138</v>
      </c>
      <c r="CJ60" s="33">
        <f t="shared" si="28"/>
        <v>138</v>
      </c>
      <c r="CK60" s="33">
        <f t="shared" si="28"/>
        <v>138</v>
      </c>
      <c r="CL60" s="33">
        <f t="shared" si="28"/>
        <v>138</v>
      </c>
      <c r="CM60" s="33">
        <f t="shared" si="28"/>
        <v>58</v>
      </c>
      <c r="CN60" s="33">
        <f t="shared" si="28"/>
        <v>138</v>
      </c>
      <c r="CO60" s="33">
        <f t="shared" si="28"/>
        <v>138</v>
      </c>
      <c r="CP60" s="33">
        <f t="shared" si="28"/>
        <v>138</v>
      </c>
      <c r="CQ60" s="33">
        <f t="shared" si="28"/>
        <v>138</v>
      </c>
      <c r="CR60" s="33">
        <f t="shared" si="28"/>
        <v>58</v>
      </c>
      <c r="CS60" s="33">
        <f t="shared" si="28"/>
        <v>138</v>
      </c>
      <c r="CT60" s="33">
        <f t="shared" si="28"/>
        <v>138</v>
      </c>
      <c r="CU60" s="33">
        <f t="shared" si="28"/>
        <v>138</v>
      </c>
      <c r="CV60" s="33">
        <f t="shared" si="28"/>
        <v>138</v>
      </c>
      <c r="CW60" s="33">
        <f t="shared" si="28"/>
        <v>58</v>
      </c>
      <c r="CX60" s="33">
        <f t="shared" si="28"/>
        <v>138</v>
      </c>
      <c r="CY60" s="33">
        <f t="shared" si="28"/>
        <v>138</v>
      </c>
      <c r="CZ60" s="33">
        <f t="shared" si="28"/>
        <v>138</v>
      </c>
      <c r="DA60" s="33">
        <f t="shared" si="28"/>
        <v>138</v>
      </c>
      <c r="DB60" s="33">
        <f t="shared" si="28"/>
        <v>58</v>
      </c>
      <c r="DC60" s="33">
        <f t="shared" si="28"/>
        <v>138</v>
      </c>
      <c r="DD60" s="33">
        <f t="shared" si="28"/>
        <v>138</v>
      </c>
      <c r="DE60" s="33">
        <f t="shared" si="28"/>
        <v>138</v>
      </c>
      <c r="DF60" s="33">
        <f t="shared" si="28"/>
        <v>138</v>
      </c>
    </row>
    <row r="61" spans="1:110" ht="18" customHeight="1">
      <c r="A61" s="13" t="s">
        <v>211</v>
      </c>
      <c r="B61" s="13">
        <v>1</v>
      </c>
      <c r="C61" s="13" t="s">
        <v>64</v>
      </c>
      <c r="D61" s="173">
        <f>Prices!C40</f>
        <v>850</v>
      </c>
      <c r="E61" s="167">
        <v>1</v>
      </c>
      <c r="F61" s="168">
        <f>E61*D61</f>
        <v>850</v>
      </c>
      <c r="G61" s="228">
        <f>F61</f>
        <v>850</v>
      </c>
      <c r="H61" s="151" t="s">
        <v>212</v>
      </c>
      <c r="J61" t="s">
        <v>289</v>
      </c>
      <c r="K61" s="188"/>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6" ht="18" customHeight="1">
      <c r="A62" s="13" t="s">
        <v>213</v>
      </c>
      <c r="B62" s="13">
        <v>1</v>
      </c>
      <c r="C62" s="13" t="s">
        <v>64</v>
      </c>
      <c r="D62" s="173">
        <f>Prices!C36</f>
        <v>30</v>
      </c>
      <c r="E62" s="167">
        <v>1</v>
      </c>
      <c r="F62" s="168">
        <f>E62*D62</f>
        <v>30</v>
      </c>
      <c r="G62" s="228">
        <f>F62</f>
        <v>30</v>
      </c>
      <c r="H62" s="151"/>
      <c r="J62" s="32"/>
      <c r="K62" s="188"/>
      <c r="M62" s="17" t="s">
        <v>422</v>
      </c>
      <c r="N62" s="6"/>
      <c r="O62" s="6"/>
      <c r="P62" s="255"/>
    </row>
    <row r="63" spans="1:14" ht="18" customHeight="1">
      <c r="A63" s="13" t="s">
        <v>214</v>
      </c>
      <c r="B63" s="13">
        <v>1</v>
      </c>
      <c r="C63" s="13" t="s">
        <v>64</v>
      </c>
      <c r="D63" s="173">
        <f>Prices!C33</f>
        <v>50</v>
      </c>
      <c r="E63" s="167">
        <v>1</v>
      </c>
      <c r="F63" s="168">
        <f>E63*D63</f>
        <v>50</v>
      </c>
      <c r="G63" s="228">
        <f>F63</f>
        <v>50</v>
      </c>
      <c r="H63" s="151"/>
      <c r="J63" s="29" t="s">
        <v>291</v>
      </c>
      <c r="K63" s="153">
        <f>NPV('Farm &amp; Buffer Assumptions'!C74,K60:AD60)</f>
        <v>819.4838218902767</v>
      </c>
      <c r="M63" s="222">
        <f>K53</f>
        <v>0</v>
      </c>
      <c r="N63" s="216" t="s">
        <v>43</v>
      </c>
    </row>
    <row r="64" spans="1:14" ht="18" customHeight="1">
      <c r="A64" s="75" t="s">
        <v>26</v>
      </c>
      <c r="B64" s="13">
        <v>1</v>
      </c>
      <c r="C64" s="13" t="s">
        <v>64</v>
      </c>
      <c r="D64" s="699">
        <v>190</v>
      </c>
      <c r="E64" s="167">
        <v>1</v>
      </c>
      <c r="F64" s="168">
        <f>E64*D64</f>
        <v>190</v>
      </c>
      <c r="G64" s="228">
        <f>F64</f>
        <v>190</v>
      </c>
      <c r="H64" s="151" t="s">
        <v>377</v>
      </c>
      <c r="J64" s="29" t="s">
        <v>292</v>
      </c>
      <c r="K64" s="153">
        <f>NPV('Farm &amp; Buffer Assumptions'!C74,K60:AN60)</f>
        <v>1266.3575549721832</v>
      </c>
      <c r="M64" s="223">
        <f>NPV('Farm &amp; Buffer Assumptions'!C74,K54:N54)</f>
        <v>0</v>
      </c>
      <c r="N64" s="10" t="s">
        <v>358</v>
      </c>
    </row>
    <row r="65" spans="1:25" ht="18" customHeight="1">
      <c r="A65" s="87" t="s">
        <v>182</v>
      </c>
      <c r="B65" s="88"/>
      <c r="C65" s="88"/>
      <c r="D65" s="89"/>
      <c r="E65" s="88"/>
      <c r="F65" s="89">
        <f>SUM(F61:F64)</f>
        <v>1120</v>
      </c>
      <c r="G65" s="232">
        <f>SUM(G61:G64)</f>
        <v>1120</v>
      </c>
      <c r="H65" s="705"/>
      <c r="J65" s="29" t="s">
        <v>293</v>
      </c>
      <c r="K65" s="153">
        <f>NPV('Farm &amp; Buffer Assumptions'!C74,K60:AX60)</f>
        <v>1568.2494370317431</v>
      </c>
      <c r="L65" s="1"/>
      <c r="M65" s="224">
        <f>NPV('Farm &amp; Buffer Assumptions'!C74,K55:Y55)</f>
        <v>0</v>
      </c>
      <c r="N65" s="216" t="s">
        <v>234</v>
      </c>
      <c r="P65" s="1"/>
      <c r="Q65" s="1"/>
      <c r="R65" s="1"/>
      <c r="S65" s="1"/>
      <c r="T65" s="1"/>
      <c r="U65" s="1"/>
      <c r="V65" s="1"/>
      <c r="W65" s="1"/>
      <c r="X65" s="1"/>
      <c r="Y65" s="1"/>
    </row>
    <row r="66" spans="1:14" ht="15.75">
      <c r="A66" s="75"/>
      <c r="B66" s="34"/>
      <c r="C66" s="34"/>
      <c r="D66" s="34"/>
      <c r="E66" s="34"/>
      <c r="F66" s="174"/>
      <c r="G66" s="233"/>
      <c r="H66" s="151"/>
      <c r="J66" s="29" t="s">
        <v>294</v>
      </c>
      <c r="K66" s="153">
        <f>NPV('Farm &amp; Buffer Assumptions'!C74,K60:BH60)</f>
        <v>1772.1967754105658</v>
      </c>
      <c r="M66" s="223">
        <f>K56</f>
        <v>0</v>
      </c>
      <c r="N66" s="216" t="s">
        <v>86</v>
      </c>
    </row>
    <row r="67" spans="1:18" ht="18" customHeight="1">
      <c r="A67" s="642" t="s">
        <v>357</v>
      </c>
      <c r="B67" s="642"/>
      <c r="C67" s="643"/>
      <c r="D67" s="643"/>
      <c r="E67" s="643"/>
      <c r="F67" s="644"/>
      <c r="G67" s="644"/>
      <c r="H67" s="689"/>
      <c r="J67" s="29" t="s">
        <v>295</v>
      </c>
      <c r="K67" s="153">
        <f>NPV('Farm &amp; Buffer Assumptions'!C74,K60:BR60)</f>
        <v>1909.976289546689</v>
      </c>
      <c r="M67" s="223">
        <f>NPV('Farm &amp; Buffer Assumptions'!C74,K57:DF57)</f>
        <v>7939.61967507724</v>
      </c>
      <c r="N67" s="193" t="s">
        <v>208</v>
      </c>
      <c r="R67" s="68">
        <f>SUM(M63:M67)</f>
        <v>7939.61967507724</v>
      </c>
    </row>
    <row r="68" spans="1:18" ht="25.5">
      <c r="A68" s="13" t="s">
        <v>26</v>
      </c>
      <c r="B68" s="13" t="s">
        <v>205</v>
      </c>
      <c r="C68" s="13" t="s">
        <v>64</v>
      </c>
      <c r="D68" s="173">
        <f>'Farm &amp; Buffer Assumptions'!C78*Prices!C35</f>
        <v>16</v>
      </c>
      <c r="E68" s="167">
        <v>1</v>
      </c>
      <c r="F68" s="168">
        <f>D68*E68</f>
        <v>16</v>
      </c>
      <c r="G68" s="228">
        <f>(F68/'Farm &amp; Buffer Assumptions'!C74)</f>
        <v>400</v>
      </c>
      <c r="H68" s="151" t="s">
        <v>380</v>
      </c>
      <c r="J68" s="29" t="s">
        <v>296</v>
      </c>
      <c r="K68" s="153">
        <f>NPV('Farm &amp; Buffer Assumptions'!C74,K60:CB60)</f>
        <v>2003.0551924952817</v>
      </c>
      <c r="M68" s="225">
        <f>K58</f>
        <v>1120</v>
      </c>
      <c r="N68" s="193" t="s">
        <v>343</v>
      </c>
      <c r="R68" s="68">
        <f>SUM(M68:M69)</f>
        <v>5845.582674307185</v>
      </c>
    </row>
    <row r="69" spans="1:14" ht="25.5">
      <c r="A69" s="13" t="s">
        <v>215</v>
      </c>
      <c r="B69" s="13" t="s">
        <v>205</v>
      </c>
      <c r="C69" s="13" t="s">
        <v>64</v>
      </c>
      <c r="D69" s="173">
        <f>Prices!C47</f>
        <v>170</v>
      </c>
      <c r="E69" s="167">
        <v>1</v>
      </c>
      <c r="F69" s="168">
        <f>E69*D69</f>
        <v>170</v>
      </c>
      <c r="G69" s="228">
        <f>(F69/'Farm &amp; Buffer Assumptions'!C74)</f>
        <v>4250</v>
      </c>
      <c r="H69" s="151" t="s">
        <v>277</v>
      </c>
      <c r="J69" s="29" t="s">
        <v>297</v>
      </c>
      <c r="K69" s="153">
        <f>NPV('Farm &amp; Buffer Assumptions'!C74,K60:CL60)</f>
        <v>2065.935964200964</v>
      </c>
      <c r="M69" s="223">
        <f>NPV('Farm &amp; Buffer Assumptions'!C74,K59:DF59)</f>
        <v>4725.582674307185</v>
      </c>
      <c r="N69" t="s">
        <v>381</v>
      </c>
    </row>
    <row r="70" spans="1:14" ht="27.75" customHeight="1">
      <c r="A70" s="13" t="s">
        <v>378</v>
      </c>
      <c r="B70" s="700">
        <f>'Farm &amp; Buffer Assumptions'!C77</f>
        <v>4</v>
      </c>
      <c r="C70" s="13" t="s">
        <v>64</v>
      </c>
      <c r="D70" s="173">
        <f>D62</f>
        <v>30</v>
      </c>
      <c r="E70" s="167">
        <v>1</v>
      </c>
      <c r="F70" s="168">
        <f>E70*D70</f>
        <v>30</v>
      </c>
      <c r="G70" s="228">
        <f>F70/(((1+'Farm &amp; Buffer Assumptions'!C74)^B70)-1)</f>
        <v>176.61753402360154</v>
      </c>
      <c r="H70" s="151" t="s">
        <v>382</v>
      </c>
      <c r="J70" s="29" t="s">
        <v>298</v>
      </c>
      <c r="K70" s="153">
        <f>NPV('Farm &amp; Buffer Assumptions'!C74,K60:CV60)</f>
        <v>2108.415960473439</v>
      </c>
      <c r="M70" s="226">
        <f>SUM(M63:M67)-SUM(M68:M69)</f>
        <v>2094.037000770055</v>
      </c>
      <c r="N70" t="s">
        <v>346</v>
      </c>
    </row>
    <row r="71" spans="1:11" ht="30" customHeight="1">
      <c r="A71" s="13" t="s">
        <v>214</v>
      </c>
      <c r="B71" s="700">
        <f>'Farm &amp; Buffer Assumptions'!C77</f>
        <v>4</v>
      </c>
      <c r="C71" s="13" t="s">
        <v>64</v>
      </c>
      <c r="D71" s="173">
        <f>D63</f>
        <v>50</v>
      </c>
      <c r="E71" s="167">
        <v>1</v>
      </c>
      <c r="F71" s="168">
        <f>E71*D71</f>
        <v>50</v>
      </c>
      <c r="G71" s="228">
        <f>F71/(((1+'Farm &amp; Buffer Assumptions'!C74)^B71)-1)</f>
        <v>294.3625567060026</v>
      </c>
      <c r="H71" s="151" t="s">
        <v>383</v>
      </c>
      <c r="J71" s="29" t="s">
        <v>299</v>
      </c>
      <c r="K71" s="153">
        <f>NPV('Farm &amp; Buffer Assumptions'!C74,K60:DF60)</f>
        <v>2137.113923846976</v>
      </c>
    </row>
    <row r="72" spans="1:8" ht="18" customHeight="1">
      <c r="A72" s="87" t="s">
        <v>185</v>
      </c>
      <c r="B72" s="34"/>
      <c r="C72" s="34"/>
      <c r="D72" s="34"/>
      <c r="E72" s="34"/>
      <c r="F72" s="89">
        <f>SUM(F68:F71)</f>
        <v>266</v>
      </c>
      <c r="G72" s="232">
        <f>SUM(G68:G71)</f>
        <v>5120.980090729604</v>
      </c>
      <c r="H72" s="151"/>
    </row>
    <row r="73" spans="1:11" ht="18" customHeight="1">
      <c r="A73" s="13" t="s">
        <v>665</v>
      </c>
      <c r="B73" s="13"/>
      <c r="C73" s="13"/>
      <c r="D73" s="173"/>
      <c r="E73" s="167"/>
      <c r="F73" s="167">
        <v>84.2</v>
      </c>
      <c r="G73" s="228">
        <f>F73/'Farm &amp; Buffer Assumptions'!C74</f>
        <v>2105</v>
      </c>
      <c r="H73" s="151"/>
      <c r="J73" t="s">
        <v>340</v>
      </c>
      <c r="K73" s="215">
        <f>K71-G76</f>
        <v>2383.094014576581</v>
      </c>
    </row>
    <row r="74" spans="1:8" ht="18" customHeight="1">
      <c r="A74" s="170" t="s">
        <v>186</v>
      </c>
      <c r="B74" s="170"/>
      <c r="C74" s="170"/>
      <c r="D74" s="175"/>
      <c r="E74" s="176"/>
      <c r="F74" s="176">
        <f>F65+F72</f>
        <v>1386</v>
      </c>
      <c r="G74" s="234">
        <f>G65+G72+G73</f>
        <v>8345.980090729605</v>
      </c>
      <c r="H74" s="162"/>
    </row>
    <row r="75" spans="1:8" ht="18" customHeight="1">
      <c r="A75" s="13"/>
      <c r="B75" s="13"/>
      <c r="C75" s="13"/>
      <c r="D75" s="13"/>
      <c r="E75" s="13"/>
      <c r="F75" s="168"/>
      <c r="G75" s="231"/>
      <c r="H75" s="151"/>
    </row>
    <row r="76" spans="1:8" ht="18" customHeight="1">
      <c r="A76" s="692" t="s">
        <v>312</v>
      </c>
      <c r="B76" s="697"/>
      <c r="C76" s="697"/>
      <c r="D76" s="697"/>
      <c r="E76" s="697"/>
      <c r="F76" s="698"/>
      <c r="G76" s="698">
        <f>G58-G74</f>
        <v>-245.98009072960485</v>
      </c>
      <c r="H76" s="695"/>
    </row>
    <row r="77" spans="1:8" ht="61.5" customHeight="1">
      <c r="A77" s="751" t="s">
        <v>359</v>
      </c>
      <c r="B77" s="758"/>
      <c r="C77" s="758"/>
      <c r="D77" s="758"/>
      <c r="E77" s="758"/>
      <c r="F77" s="752"/>
      <c r="G77" s="752"/>
      <c r="H77" s="752"/>
    </row>
    <row r="78" spans="1:8" ht="18" customHeight="1">
      <c r="A78" s="754" t="s">
        <v>235</v>
      </c>
      <c r="B78" s="752"/>
      <c r="C78" s="752"/>
      <c r="D78" s="752"/>
      <c r="E78" s="752"/>
      <c r="F78" s="218"/>
      <c r="G78" s="218"/>
      <c r="H78" s="218"/>
    </row>
    <row r="79" spans="1:8" ht="30" customHeight="1">
      <c r="A79" s="752" t="s">
        <v>188</v>
      </c>
      <c r="B79" s="752"/>
      <c r="C79" s="752"/>
      <c r="D79" s="752"/>
      <c r="E79" s="752"/>
      <c r="F79" s="752"/>
      <c r="G79" s="752"/>
      <c r="H79" s="752"/>
    </row>
    <row r="80" spans="1:8" ht="27.75" customHeight="1">
      <c r="A80" s="752" t="s">
        <v>364</v>
      </c>
      <c r="B80" s="752"/>
      <c r="C80" s="752"/>
      <c r="D80" s="752"/>
      <c r="E80" s="752"/>
      <c r="F80" s="218"/>
      <c r="G80" s="218"/>
      <c r="H80" s="218"/>
    </row>
    <row r="81" spans="1:8" ht="48" customHeight="1" thickBot="1">
      <c r="A81" s="755" t="s">
        <v>190</v>
      </c>
      <c r="B81" s="755"/>
      <c r="C81" s="755"/>
      <c r="D81" s="755"/>
      <c r="E81" s="755"/>
      <c r="F81" s="755"/>
      <c r="G81" s="755"/>
      <c r="H81" s="755"/>
    </row>
    <row r="82" spans="1:11" ht="41.25" customHeight="1" thickBot="1">
      <c r="A82" s="477" t="s">
        <v>351</v>
      </c>
      <c r="B82" s="474" t="s">
        <v>176</v>
      </c>
      <c r="C82" s="475" t="s">
        <v>0</v>
      </c>
      <c r="D82" s="476" t="s">
        <v>11</v>
      </c>
      <c r="E82" s="478" t="s">
        <v>22</v>
      </c>
      <c r="F82" s="476" t="s">
        <v>18</v>
      </c>
      <c r="G82" s="478" t="s">
        <v>177</v>
      </c>
      <c r="H82" s="475" t="s">
        <v>178</v>
      </c>
      <c r="K82" t="s">
        <v>290</v>
      </c>
    </row>
    <row r="83" spans="1:110" ht="18" customHeight="1" thickBot="1">
      <c r="A83" s="680" t="s">
        <v>42</v>
      </c>
      <c r="B83" s="681"/>
      <c r="C83" s="646"/>
      <c r="D83" s="647"/>
      <c r="E83" s="682"/>
      <c r="F83" s="647"/>
      <c r="G83" s="682"/>
      <c r="H83" s="701"/>
      <c r="J83" s="205" t="s">
        <v>278</v>
      </c>
      <c r="K83" s="11">
        <v>1</v>
      </c>
      <c r="L83" s="11">
        <v>2</v>
      </c>
      <c r="M83" s="11">
        <v>3</v>
      </c>
      <c r="N83" s="11">
        <v>4</v>
      </c>
      <c r="O83" s="11">
        <v>5</v>
      </c>
      <c r="P83" s="11">
        <v>6</v>
      </c>
      <c r="Q83" s="11">
        <v>7</v>
      </c>
      <c r="R83" s="11">
        <v>8</v>
      </c>
      <c r="S83" s="11">
        <v>9</v>
      </c>
      <c r="T83" s="11">
        <v>10</v>
      </c>
      <c r="U83" s="11">
        <v>11</v>
      </c>
      <c r="V83" s="11">
        <v>12</v>
      </c>
      <c r="W83" s="11">
        <v>13</v>
      </c>
      <c r="X83" s="11">
        <v>14</v>
      </c>
      <c r="Y83" s="11">
        <v>15</v>
      </c>
      <c r="Z83" s="179">
        <v>16</v>
      </c>
      <c r="AA83" s="179">
        <v>17</v>
      </c>
      <c r="AB83" s="179">
        <v>18</v>
      </c>
      <c r="AC83" s="179">
        <v>19</v>
      </c>
      <c r="AD83" s="179">
        <v>20</v>
      </c>
      <c r="AE83" s="179">
        <v>21</v>
      </c>
      <c r="AF83" s="179">
        <v>22</v>
      </c>
      <c r="AG83" s="179">
        <v>23</v>
      </c>
      <c r="AH83" s="179">
        <v>24</v>
      </c>
      <c r="AI83" s="179">
        <v>25</v>
      </c>
      <c r="AJ83" s="179">
        <v>26</v>
      </c>
      <c r="AK83" s="179">
        <v>27</v>
      </c>
      <c r="AL83" s="179">
        <v>28</v>
      </c>
      <c r="AM83" s="179">
        <v>29</v>
      </c>
      <c r="AN83" s="179">
        <v>30</v>
      </c>
      <c r="AO83" s="179">
        <v>31</v>
      </c>
      <c r="AP83" s="179">
        <v>32</v>
      </c>
      <c r="AQ83" s="179">
        <v>33</v>
      </c>
      <c r="AR83" s="179">
        <v>34</v>
      </c>
      <c r="AS83" s="179">
        <v>35</v>
      </c>
      <c r="AT83" s="179">
        <v>36</v>
      </c>
      <c r="AU83" s="179">
        <v>37</v>
      </c>
      <c r="AV83" s="179">
        <v>38</v>
      </c>
      <c r="AW83" s="179">
        <v>39</v>
      </c>
      <c r="AX83" s="179">
        <v>40</v>
      </c>
      <c r="AY83" s="179">
        <v>41</v>
      </c>
      <c r="AZ83" s="179">
        <v>42</v>
      </c>
      <c r="BA83" s="179">
        <v>43</v>
      </c>
      <c r="BB83" s="179">
        <v>44</v>
      </c>
      <c r="BC83" s="179">
        <v>45</v>
      </c>
      <c r="BD83" s="179">
        <v>46</v>
      </c>
      <c r="BE83" s="179">
        <v>47</v>
      </c>
      <c r="BF83" s="179">
        <v>48</v>
      </c>
      <c r="BG83" s="179">
        <v>49</v>
      </c>
      <c r="BH83" s="179">
        <v>50</v>
      </c>
      <c r="BI83" s="179">
        <v>51</v>
      </c>
      <c r="BJ83" s="179">
        <v>52</v>
      </c>
      <c r="BK83" s="179">
        <v>53</v>
      </c>
      <c r="BL83" s="179">
        <v>54</v>
      </c>
      <c r="BM83" s="179">
        <v>55</v>
      </c>
      <c r="BN83" s="179">
        <v>56</v>
      </c>
      <c r="BO83" s="179">
        <v>57</v>
      </c>
      <c r="BP83" s="179">
        <v>58</v>
      </c>
      <c r="BQ83" s="179">
        <v>59</v>
      </c>
      <c r="BR83" s="179">
        <v>60</v>
      </c>
      <c r="BS83" s="179">
        <v>61</v>
      </c>
      <c r="BT83" s="179">
        <v>62</v>
      </c>
      <c r="BU83" s="179">
        <v>63</v>
      </c>
      <c r="BV83" s="179">
        <v>64</v>
      </c>
      <c r="BW83" s="179">
        <v>65</v>
      </c>
      <c r="BX83" s="179">
        <v>66</v>
      </c>
      <c r="BY83" s="179">
        <v>67</v>
      </c>
      <c r="BZ83" s="179">
        <v>68</v>
      </c>
      <c r="CA83" s="179">
        <v>69</v>
      </c>
      <c r="CB83" s="179">
        <v>70</v>
      </c>
      <c r="CC83" s="179">
        <v>71</v>
      </c>
      <c r="CD83" s="179">
        <v>72</v>
      </c>
      <c r="CE83" s="179">
        <v>73</v>
      </c>
      <c r="CF83" s="179">
        <v>74</v>
      </c>
      <c r="CG83" s="179">
        <v>75</v>
      </c>
      <c r="CH83" s="179">
        <v>76</v>
      </c>
      <c r="CI83" s="179">
        <v>77</v>
      </c>
      <c r="CJ83" s="179">
        <v>78</v>
      </c>
      <c r="CK83" s="179">
        <v>79</v>
      </c>
      <c r="CL83" s="179">
        <v>80</v>
      </c>
      <c r="CM83" s="179">
        <v>81</v>
      </c>
      <c r="CN83" s="179">
        <v>82</v>
      </c>
      <c r="CO83" s="179">
        <v>83</v>
      </c>
      <c r="CP83" s="179">
        <v>84</v>
      </c>
      <c r="CQ83" s="179">
        <v>85</v>
      </c>
      <c r="CR83" s="179">
        <v>86</v>
      </c>
      <c r="CS83" s="179">
        <v>87</v>
      </c>
      <c r="CT83" s="179">
        <v>88</v>
      </c>
      <c r="CU83" s="179">
        <v>89</v>
      </c>
      <c r="CV83" s="179">
        <v>90</v>
      </c>
      <c r="CW83" s="179">
        <v>91</v>
      </c>
      <c r="CX83" s="179">
        <v>92</v>
      </c>
      <c r="CY83" s="179">
        <v>93</v>
      </c>
      <c r="CZ83" s="179">
        <v>94</v>
      </c>
      <c r="DA83" s="179">
        <v>95</v>
      </c>
      <c r="DB83" s="179">
        <v>96</v>
      </c>
      <c r="DC83" s="179">
        <v>97</v>
      </c>
      <c r="DD83" s="179">
        <v>98</v>
      </c>
      <c r="DE83" s="179">
        <v>99</v>
      </c>
      <c r="DF83" s="179">
        <v>100</v>
      </c>
    </row>
    <row r="84" spans="1:110" ht="18" customHeight="1" thickBot="1">
      <c r="A84" s="13" t="s">
        <v>43</v>
      </c>
      <c r="B84" s="11">
        <v>1</v>
      </c>
      <c r="C84" s="11" t="s">
        <v>64</v>
      </c>
      <c r="D84" s="67">
        <f>IF('Farm &amp; Buffer Assumptions'!C114=1,F95*'Farm &amp; Buffer Assumptions'!C92,0)</f>
        <v>0</v>
      </c>
      <c r="E84" s="63">
        <v>1</v>
      </c>
      <c r="F84" s="67">
        <f>E84*D84</f>
        <v>0</v>
      </c>
      <c r="G84" s="227">
        <f>F84</f>
        <v>0</v>
      </c>
      <c r="H84" s="169"/>
      <c r="J84" s="11" t="s">
        <v>279</v>
      </c>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row>
    <row r="85" spans="1:110" ht="18" customHeight="1" thickBot="1">
      <c r="A85" s="13" t="s">
        <v>327</v>
      </c>
      <c r="B85" s="11">
        <f>'Farm &amp; Buffer Assumptions'!C94</f>
        <v>5</v>
      </c>
      <c r="C85" s="11" t="s">
        <v>64</v>
      </c>
      <c r="D85" s="67">
        <f>IF('Farm &amp; Buffer Assumptions'!C115=1,F98*'Farm &amp; Buffer Assumptions'!C93,0)</f>
        <v>0</v>
      </c>
      <c r="E85" s="63">
        <v>1</v>
      </c>
      <c r="F85" s="67">
        <f>E85*D85</f>
        <v>0</v>
      </c>
      <c r="G85" s="227">
        <f>(PV('Farm &amp; Buffer Assumptions'!C74,B85,-F85))</f>
        <v>0</v>
      </c>
      <c r="H85" s="169"/>
      <c r="J85" s="11" t="s">
        <v>283</v>
      </c>
      <c r="K85" s="67">
        <f>F84</f>
        <v>0</v>
      </c>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row>
    <row r="86" spans="1:110" ht="18" customHeight="1" thickBot="1">
      <c r="A86" s="13" t="s">
        <v>328</v>
      </c>
      <c r="B86" s="11">
        <v>2</v>
      </c>
      <c r="C86" s="11"/>
      <c r="D86" s="67">
        <f>IF('Farm &amp; Buffer Assumptions'!C115=1,F99*'Farm &amp; Buffer Assumptions'!C93,0)</f>
        <v>0</v>
      </c>
      <c r="E86" s="63">
        <v>1</v>
      </c>
      <c r="F86" s="67">
        <f>E86*D86</f>
        <v>0</v>
      </c>
      <c r="G86" s="243">
        <f>F86/(1+'Farm &amp; Buffer Assumptions'!C74)^B86</f>
        <v>0</v>
      </c>
      <c r="H86" s="169"/>
      <c r="J86" s="11" t="s">
        <v>333</v>
      </c>
      <c r="K86" s="11">
        <v>0</v>
      </c>
      <c r="L86" s="67">
        <f>IF(L83=($B$114+1),$F$114,IF(L83&lt;=$B$114,$F$114,0))</f>
        <v>0</v>
      </c>
      <c r="M86" s="67">
        <f aca="true" t="shared" si="29" ref="M86:BX86">IF(M83=($B$114+1),$F$114,IF(M83&lt;=$B$114,$F$114,0))</f>
        <v>0</v>
      </c>
      <c r="N86" s="67">
        <f t="shared" si="29"/>
        <v>0</v>
      </c>
      <c r="O86" s="67">
        <f t="shared" si="29"/>
        <v>0</v>
      </c>
      <c r="P86" s="67">
        <f t="shared" si="29"/>
        <v>0</v>
      </c>
      <c r="Q86" s="67">
        <f t="shared" si="29"/>
        <v>0</v>
      </c>
      <c r="R86" s="67">
        <f t="shared" si="29"/>
        <v>0</v>
      </c>
      <c r="S86" s="67">
        <f t="shared" si="29"/>
        <v>0</v>
      </c>
      <c r="T86" s="67">
        <f t="shared" si="29"/>
        <v>0</v>
      </c>
      <c r="U86" s="67">
        <f t="shared" si="29"/>
        <v>0</v>
      </c>
      <c r="V86" s="67">
        <f t="shared" si="29"/>
        <v>0</v>
      </c>
      <c r="W86" s="67">
        <f t="shared" si="29"/>
        <v>0</v>
      </c>
      <c r="X86" s="67">
        <f t="shared" si="29"/>
        <v>0</v>
      </c>
      <c r="Y86" s="67">
        <f t="shared" si="29"/>
        <v>0</v>
      </c>
      <c r="Z86" s="67">
        <f t="shared" si="29"/>
        <v>0</v>
      </c>
      <c r="AA86" s="67">
        <f t="shared" si="29"/>
        <v>0</v>
      </c>
      <c r="AB86" s="67">
        <f t="shared" si="29"/>
        <v>0</v>
      </c>
      <c r="AC86" s="67">
        <f t="shared" si="29"/>
        <v>0</v>
      </c>
      <c r="AD86" s="67">
        <f t="shared" si="29"/>
        <v>0</v>
      </c>
      <c r="AE86" s="67">
        <f t="shared" si="29"/>
        <v>0</v>
      </c>
      <c r="AF86" s="67">
        <f t="shared" si="29"/>
        <v>0</v>
      </c>
      <c r="AG86" s="67">
        <f t="shared" si="29"/>
        <v>0</v>
      </c>
      <c r="AH86" s="67">
        <f t="shared" si="29"/>
        <v>0</v>
      </c>
      <c r="AI86" s="67">
        <f t="shared" si="29"/>
        <v>0</v>
      </c>
      <c r="AJ86" s="67">
        <f t="shared" si="29"/>
        <v>0</v>
      </c>
      <c r="AK86" s="67">
        <f t="shared" si="29"/>
        <v>0</v>
      </c>
      <c r="AL86" s="67">
        <f t="shared" si="29"/>
        <v>0</v>
      </c>
      <c r="AM86" s="67">
        <f t="shared" si="29"/>
        <v>0</v>
      </c>
      <c r="AN86" s="67">
        <f t="shared" si="29"/>
        <v>0</v>
      </c>
      <c r="AO86" s="67">
        <f t="shared" si="29"/>
        <v>0</v>
      </c>
      <c r="AP86" s="67">
        <f t="shared" si="29"/>
        <v>0</v>
      </c>
      <c r="AQ86" s="67">
        <f t="shared" si="29"/>
        <v>0</v>
      </c>
      <c r="AR86" s="67">
        <f t="shared" si="29"/>
        <v>0</v>
      </c>
      <c r="AS86" s="67">
        <f t="shared" si="29"/>
        <v>0</v>
      </c>
      <c r="AT86" s="67">
        <f t="shared" si="29"/>
        <v>0</v>
      </c>
      <c r="AU86" s="67">
        <f t="shared" si="29"/>
        <v>0</v>
      </c>
      <c r="AV86" s="67">
        <f t="shared" si="29"/>
        <v>0</v>
      </c>
      <c r="AW86" s="67">
        <f t="shared" si="29"/>
        <v>0</v>
      </c>
      <c r="AX86" s="67">
        <f t="shared" si="29"/>
        <v>0</v>
      </c>
      <c r="AY86" s="67">
        <f t="shared" si="29"/>
        <v>0</v>
      </c>
      <c r="AZ86" s="67">
        <f t="shared" si="29"/>
        <v>0</v>
      </c>
      <c r="BA86" s="67">
        <f t="shared" si="29"/>
        <v>0</v>
      </c>
      <c r="BB86" s="67">
        <f t="shared" si="29"/>
        <v>0</v>
      </c>
      <c r="BC86" s="67">
        <f t="shared" si="29"/>
        <v>0</v>
      </c>
      <c r="BD86" s="67">
        <f t="shared" si="29"/>
        <v>0</v>
      </c>
      <c r="BE86" s="67">
        <f t="shared" si="29"/>
        <v>0</v>
      </c>
      <c r="BF86" s="67">
        <f t="shared" si="29"/>
        <v>0</v>
      </c>
      <c r="BG86" s="67">
        <f t="shared" si="29"/>
        <v>0</v>
      </c>
      <c r="BH86" s="67">
        <f t="shared" si="29"/>
        <v>0</v>
      </c>
      <c r="BI86" s="67">
        <f t="shared" si="29"/>
        <v>0</v>
      </c>
      <c r="BJ86" s="67">
        <f t="shared" si="29"/>
        <v>0</v>
      </c>
      <c r="BK86" s="67">
        <f t="shared" si="29"/>
        <v>0</v>
      </c>
      <c r="BL86" s="67">
        <f t="shared" si="29"/>
        <v>0</v>
      </c>
      <c r="BM86" s="67">
        <f t="shared" si="29"/>
        <v>0</v>
      </c>
      <c r="BN86" s="67">
        <f t="shared" si="29"/>
        <v>0</v>
      </c>
      <c r="BO86" s="67">
        <f t="shared" si="29"/>
        <v>0</v>
      </c>
      <c r="BP86" s="67">
        <f t="shared" si="29"/>
        <v>0</v>
      </c>
      <c r="BQ86" s="67">
        <f t="shared" si="29"/>
        <v>0</v>
      </c>
      <c r="BR86" s="67">
        <f t="shared" si="29"/>
        <v>0</v>
      </c>
      <c r="BS86" s="67">
        <f t="shared" si="29"/>
        <v>0</v>
      </c>
      <c r="BT86" s="67">
        <f t="shared" si="29"/>
        <v>0</v>
      </c>
      <c r="BU86" s="67">
        <f t="shared" si="29"/>
        <v>0</v>
      </c>
      <c r="BV86" s="67">
        <f t="shared" si="29"/>
        <v>0</v>
      </c>
      <c r="BW86" s="67">
        <f t="shared" si="29"/>
        <v>0</v>
      </c>
      <c r="BX86" s="67">
        <f t="shared" si="29"/>
        <v>0</v>
      </c>
      <c r="BY86" s="67">
        <f aca="true" t="shared" si="30" ref="BY86:DF86">IF(BY83=($B$114+1),$F$114,IF(BY83&lt;=$B$114,$F$114,0))</f>
        <v>0</v>
      </c>
      <c r="BZ86" s="67">
        <f t="shared" si="30"/>
        <v>0</v>
      </c>
      <c r="CA86" s="67">
        <f t="shared" si="30"/>
        <v>0</v>
      </c>
      <c r="CB86" s="67">
        <f t="shared" si="30"/>
        <v>0</v>
      </c>
      <c r="CC86" s="67">
        <f t="shared" si="30"/>
        <v>0</v>
      </c>
      <c r="CD86" s="67">
        <f t="shared" si="30"/>
        <v>0</v>
      </c>
      <c r="CE86" s="67">
        <f t="shared" si="30"/>
        <v>0</v>
      </c>
      <c r="CF86" s="67">
        <f t="shared" si="30"/>
        <v>0</v>
      </c>
      <c r="CG86" s="67">
        <f t="shared" si="30"/>
        <v>0</v>
      </c>
      <c r="CH86" s="67">
        <f t="shared" si="30"/>
        <v>0</v>
      </c>
      <c r="CI86" s="67">
        <f t="shared" si="30"/>
        <v>0</v>
      </c>
      <c r="CJ86" s="67">
        <f t="shared" si="30"/>
        <v>0</v>
      </c>
      <c r="CK86" s="67">
        <f t="shared" si="30"/>
        <v>0</v>
      </c>
      <c r="CL86" s="67">
        <f t="shared" si="30"/>
        <v>0</v>
      </c>
      <c r="CM86" s="67">
        <f t="shared" si="30"/>
        <v>0</v>
      </c>
      <c r="CN86" s="67">
        <f t="shared" si="30"/>
        <v>0</v>
      </c>
      <c r="CO86" s="67">
        <f t="shared" si="30"/>
        <v>0</v>
      </c>
      <c r="CP86" s="67">
        <f t="shared" si="30"/>
        <v>0</v>
      </c>
      <c r="CQ86" s="67">
        <f t="shared" si="30"/>
        <v>0</v>
      </c>
      <c r="CR86" s="67">
        <f t="shared" si="30"/>
        <v>0</v>
      </c>
      <c r="CS86" s="67">
        <f t="shared" si="30"/>
        <v>0</v>
      </c>
      <c r="CT86" s="67">
        <f t="shared" si="30"/>
        <v>0</v>
      </c>
      <c r="CU86" s="67">
        <f t="shared" si="30"/>
        <v>0</v>
      </c>
      <c r="CV86" s="67">
        <f t="shared" si="30"/>
        <v>0</v>
      </c>
      <c r="CW86" s="67">
        <f t="shared" si="30"/>
        <v>0</v>
      </c>
      <c r="CX86" s="67">
        <f t="shared" si="30"/>
        <v>0</v>
      </c>
      <c r="CY86" s="67">
        <f t="shared" si="30"/>
        <v>0</v>
      </c>
      <c r="CZ86" s="67">
        <f t="shared" si="30"/>
        <v>0</v>
      </c>
      <c r="DA86" s="67">
        <f t="shared" si="30"/>
        <v>0</v>
      </c>
      <c r="DB86" s="67">
        <f t="shared" si="30"/>
        <v>0</v>
      </c>
      <c r="DC86" s="67">
        <f t="shared" si="30"/>
        <v>0</v>
      </c>
      <c r="DD86" s="67">
        <f t="shared" si="30"/>
        <v>0</v>
      </c>
      <c r="DE86" s="67">
        <f t="shared" si="30"/>
        <v>0</v>
      </c>
      <c r="DF86" s="67">
        <f t="shared" si="30"/>
        <v>0</v>
      </c>
    </row>
    <row r="87" spans="1:110" ht="18" customHeight="1" thickBot="1">
      <c r="A87" s="11" t="s">
        <v>234</v>
      </c>
      <c r="B87" s="11">
        <f>'Farm &amp; Buffer Assumptions'!C89</f>
        <v>15</v>
      </c>
      <c r="C87" s="11" t="s">
        <v>64</v>
      </c>
      <c r="D87" s="67">
        <f>IF('Farm &amp; Buffer Assumptions'!C112=1,Prices!C29*'Farm &amp; Buffer Assumptions'!C90,0)</f>
        <v>0</v>
      </c>
      <c r="E87" s="63">
        <v>1</v>
      </c>
      <c r="F87" s="67">
        <f>E87*D87</f>
        <v>0</v>
      </c>
      <c r="G87" s="227">
        <f>-PV('Farm &amp; Buffer Assumptions'!C74,B87,F87)</f>
        <v>0</v>
      </c>
      <c r="H87" s="169"/>
      <c r="J87" s="11" t="s">
        <v>334</v>
      </c>
      <c r="K87" s="11">
        <v>0</v>
      </c>
      <c r="L87" s="67">
        <f>F86</f>
        <v>0</v>
      </c>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row>
    <row r="88" spans="1:110" ht="18" customHeight="1" thickBot="1">
      <c r="A88" s="11" t="s">
        <v>86</v>
      </c>
      <c r="B88" s="11">
        <v>1</v>
      </c>
      <c r="C88" s="11" t="s">
        <v>64</v>
      </c>
      <c r="D88" s="67">
        <f>IF('Farm &amp; Buffer Assumptions'!C113=1,'Farm &amp; Buffer Assumptions'!C91,0)</f>
        <v>0</v>
      </c>
      <c r="E88" s="63">
        <v>1</v>
      </c>
      <c r="F88" s="67">
        <f>E88*D88</f>
        <v>0</v>
      </c>
      <c r="G88" s="227">
        <f>F88</f>
        <v>0</v>
      </c>
      <c r="H88" s="169"/>
      <c r="J88" s="11" t="s">
        <v>285</v>
      </c>
      <c r="K88" s="67">
        <f>IF(K83&lt;=$B$116,$F$116,0)</f>
        <v>0</v>
      </c>
      <c r="L88" s="67">
        <f aca="true" t="shared" si="31" ref="L88:BW88">IF(L83&lt;=$B$116,$F$116,0)</f>
        <v>0</v>
      </c>
      <c r="M88" s="67">
        <f t="shared" si="31"/>
        <v>0</v>
      </c>
      <c r="N88" s="67">
        <f t="shared" si="31"/>
        <v>0</v>
      </c>
      <c r="O88" s="67">
        <f t="shared" si="31"/>
        <v>0</v>
      </c>
      <c r="P88" s="67">
        <f t="shared" si="31"/>
        <v>0</v>
      </c>
      <c r="Q88" s="67">
        <f t="shared" si="31"/>
        <v>0</v>
      </c>
      <c r="R88" s="67">
        <f t="shared" si="31"/>
        <v>0</v>
      </c>
      <c r="S88" s="67">
        <f t="shared" si="31"/>
        <v>0</v>
      </c>
      <c r="T88" s="67">
        <f t="shared" si="31"/>
        <v>0</v>
      </c>
      <c r="U88" s="67">
        <f t="shared" si="31"/>
        <v>0</v>
      </c>
      <c r="V88" s="67">
        <f t="shared" si="31"/>
        <v>0</v>
      </c>
      <c r="W88" s="67">
        <f t="shared" si="31"/>
        <v>0</v>
      </c>
      <c r="X88" s="67">
        <f t="shared" si="31"/>
        <v>0</v>
      </c>
      <c r="Y88" s="67">
        <f t="shared" si="31"/>
        <v>0</v>
      </c>
      <c r="Z88" s="67">
        <f t="shared" si="31"/>
        <v>0</v>
      </c>
      <c r="AA88" s="67">
        <f t="shared" si="31"/>
        <v>0</v>
      </c>
      <c r="AB88" s="67">
        <f t="shared" si="31"/>
        <v>0</v>
      </c>
      <c r="AC88" s="67">
        <f t="shared" si="31"/>
        <v>0</v>
      </c>
      <c r="AD88" s="67">
        <f t="shared" si="31"/>
        <v>0</v>
      </c>
      <c r="AE88" s="67">
        <f t="shared" si="31"/>
        <v>0</v>
      </c>
      <c r="AF88" s="67">
        <f t="shared" si="31"/>
        <v>0</v>
      </c>
      <c r="AG88" s="67">
        <f t="shared" si="31"/>
        <v>0</v>
      </c>
      <c r="AH88" s="67">
        <f t="shared" si="31"/>
        <v>0</v>
      </c>
      <c r="AI88" s="67">
        <f t="shared" si="31"/>
        <v>0</v>
      </c>
      <c r="AJ88" s="67">
        <f t="shared" si="31"/>
        <v>0</v>
      </c>
      <c r="AK88" s="67">
        <f t="shared" si="31"/>
        <v>0</v>
      </c>
      <c r="AL88" s="67">
        <f t="shared" si="31"/>
        <v>0</v>
      </c>
      <c r="AM88" s="67">
        <f t="shared" si="31"/>
        <v>0</v>
      </c>
      <c r="AN88" s="67">
        <f t="shared" si="31"/>
        <v>0</v>
      </c>
      <c r="AO88" s="67">
        <f t="shared" si="31"/>
        <v>0</v>
      </c>
      <c r="AP88" s="67">
        <f t="shared" si="31"/>
        <v>0</v>
      </c>
      <c r="AQ88" s="67">
        <f t="shared" si="31"/>
        <v>0</v>
      </c>
      <c r="AR88" s="67">
        <f t="shared" si="31"/>
        <v>0</v>
      </c>
      <c r="AS88" s="67">
        <f t="shared" si="31"/>
        <v>0</v>
      </c>
      <c r="AT88" s="67">
        <f t="shared" si="31"/>
        <v>0</v>
      </c>
      <c r="AU88" s="67">
        <f t="shared" si="31"/>
        <v>0</v>
      </c>
      <c r="AV88" s="67">
        <f t="shared" si="31"/>
        <v>0</v>
      </c>
      <c r="AW88" s="67">
        <f t="shared" si="31"/>
        <v>0</v>
      </c>
      <c r="AX88" s="67">
        <f t="shared" si="31"/>
        <v>0</v>
      </c>
      <c r="AY88" s="67">
        <f t="shared" si="31"/>
        <v>0</v>
      </c>
      <c r="AZ88" s="67">
        <f t="shared" si="31"/>
        <v>0</v>
      </c>
      <c r="BA88" s="67">
        <f t="shared" si="31"/>
        <v>0</v>
      </c>
      <c r="BB88" s="67">
        <f t="shared" si="31"/>
        <v>0</v>
      </c>
      <c r="BC88" s="67">
        <f t="shared" si="31"/>
        <v>0</v>
      </c>
      <c r="BD88" s="67">
        <f t="shared" si="31"/>
        <v>0</v>
      </c>
      <c r="BE88" s="67">
        <f t="shared" si="31"/>
        <v>0</v>
      </c>
      <c r="BF88" s="67">
        <f t="shared" si="31"/>
        <v>0</v>
      </c>
      <c r="BG88" s="67">
        <f t="shared" si="31"/>
        <v>0</v>
      </c>
      <c r="BH88" s="67">
        <f t="shared" si="31"/>
        <v>0</v>
      </c>
      <c r="BI88" s="67">
        <f t="shared" si="31"/>
        <v>0</v>
      </c>
      <c r="BJ88" s="67">
        <f t="shared" si="31"/>
        <v>0</v>
      </c>
      <c r="BK88" s="67">
        <f t="shared" si="31"/>
        <v>0</v>
      </c>
      <c r="BL88" s="67">
        <f t="shared" si="31"/>
        <v>0</v>
      </c>
      <c r="BM88" s="67">
        <f t="shared" si="31"/>
        <v>0</v>
      </c>
      <c r="BN88" s="67">
        <f t="shared" si="31"/>
        <v>0</v>
      </c>
      <c r="BO88" s="67">
        <f t="shared" si="31"/>
        <v>0</v>
      </c>
      <c r="BP88" s="67">
        <f t="shared" si="31"/>
        <v>0</v>
      </c>
      <c r="BQ88" s="67">
        <f t="shared" si="31"/>
        <v>0</v>
      </c>
      <c r="BR88" s="67">
        <f t="shared" si="31"/>
        <v>0</v>
      </c>
      <c r="BS88" s="67">
        <f t="shared" si="31"/>
        <v>0</v>
      </c>
      <c r="BT88" s="67">
        <f t="shared" si="31"/>
        <v>0</v>
      </c>
      <c r="BU88" s="67">
        <f t="shared" si="31"/>
        <v>0</v>
      </c>
      <c r="BV88" s="67">
        <f t="shared" si="31"/>
        <v>0</v>
      </c>
      <c r="BW88" s="67">
        <f t="shared" si="31"/>
        <v>0</v>
      </c>
      <c r="BX88" s="67">
        <f aca="true" t="shared" si="32" ref="BX88:DF88">IF(BX83&lt;=$B$116,$F$116,0)</f>
        <v>0</v>
      </c>
      <c r="BY88" s="67">
        <f t="shared" si="32"/>
        <v>0</v>
      </c>
      <c r="BZ88" s="67">
        <f t="shared" si="32"/>
        <v>0</v>
      </c>
      <c r="CA88" s="67">
        <f t="shared" si="32"/>
        <v>0</v>
      </c>
      <c r="CB88" s="67">
        <f t="shared" si="32"/>
        <v>0</v>
      </c>
      <c r="CC88" s="67">
        <f t="shared" si="32"/>
        <v>0</v>
      </c>
      <c r="CD88" s="67">
        <f t="shared" si="32"/>
        <v>0</v>
      </c>
      <c r="CE88" s="67">
        <f t="shared" si="32"/>
        <v>0</v>
      </c>
      <c r="CF88" s="67">
        <f t="shared" si="32"/>
        <v>0</v>
      </c>
      <c r="CG88" s="67">
        <f t="shared" si="32"/>
        <v>0</v>
      </c>
      <c r="CH88" s="67">
        <f t="shared" si="32"/>
        <v>0</v>
      </c>
      <c r="CI88" s="67">
        <f t="shared" si="32"/>
        <v>0</v>
      </c>
      <c r="CJ88" s="67">
        <f t="shared" si="32"/>
        <v>0</v>
      </c>
      <c r="CK88" s="67">
        <f t="shared" si="32"/>
        <v>0</v>
      </c>
      <c r="CL88" s="67">
        <f t="shared" si="32"/>
        <v>0</v>
      </c>
      <c r="CM88" s="67">
        <f t="shared" si="32"/>
        <v>0</v>
      </c>
      <c r="CN88" s="67">
        <f t="shared" si="32"/>
        <v>0</v>
      </c>
      <c r="CO88" s="67">
        <f t="shared" si="32"/>
        <v>0</v>
      </c>
      <c r="CP88" s="67">
        <f t="shared" si="32"/>
        <v>0</v>
      </c>
      <c r="CQ88" s="67">
        <f t="shared" si="32"/>
        <v>0</v>
      </c>
      <c r="CR88" s="67">
        <f t="shared" si="32"/>
        <v>0</v>
      </c>
      <c r="CS88" s="67">
        <f t="shared" si="32"/>
        <v>0</v>
      </c>
      <c r="CT88" s="67">
        <f t="shared" si="32"/>
        <v>0</v>
      </c>
      <c r="CU88" s="67">
        <f t="shared" si="32"/>
        <v>0</v>
      </c>
      <c r="CV88" s="67">
        <f t="shared" si="32"/>
        <v>0</v>
      </c>
      <c r="CW88" s="67">
        <f t="shared" si="32"/>
        <v>0</v>
      </c>
      <c r="CX88" s="67">
        <f t="shared" si="32"/>
        <v>0</v>
      </c>
      <c r="CY88" s="67">
        <f t="shared" si="32"/>
        <v>0</v>
      </c>
      <c r="CZ88" s="67">
        <f t="shared" si="32"/>
        <v>0</v>
      </c>
      <c r="DA88" s="67">
        <f t="shared" si="32"/>
        <v>0</v>
      </c>
      <c r="DB88" s="67">
        <f t="shared" si="32"/>
        <v>0</v>
      </c>
      <c r="DC88" s="67">
        <f t="shared" si="32"/>
        <v>0</v>
      </c>
      <c r="DD88" s="67">
        <f t="shared" si="32"/>
        <v>0</v>
      </c>
      <c r="DE88" s="67">
        <f t="shared" si="32"/>
        <v>0</v>
      </c>
      <c r="DF88" s="67">
        <f t="shared" si="32"/>
        <v>0</v>
      </c>
    </row>
    <row r="89" spans="1:110" ht="18" customHeight="1">
      <c r="A89" s="70" t="s">
        <v>98</v>
      </c>
      <c r="B89" s="70"/>
      <c r="C89" s="65"/>
      <c r="D89" s="65"/>
      <c r="E89" s="152"/>
      <c r="F89" s="153">
        <f>SUM(F84:F88)</f>
        <v>0</v>
      </c>
      <c r="G89" s="241">
        <f>SUM(G84:G88)</f>
        <v>0</v>
      </c>
      <c r="H89" s="154"/>
      <c r="J89" s="11" t="s">
        <v>286</v>
      </c>
      <c r="K89" s="67">
        <f>F88</f>
        <v>0</v>
      </c>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row>
    <row r="90" spans="1:110" ht="18" customHeight="1">
      <c r="A90" s="155"/>
      <c r="B90" s="10"/>
      <c r="C90" s="10"/>
      <c r="D90" s="10"/>
      <c r="E90" s="156"/>
      <c r="F90" s="157"/>
      <c r="G90" s="244"/>
      <c r="H90" s="151"/>
      <c r="J90" s="11" t="s">
        <v>281</v>
      </c>
      <c r="K90" s="67">
        <f>F95</f>
        <v>2368</v>
      </c>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row>
    <row r="91" spans="1:110" ht="18" customHeight="1">
      <c r="A91" s="684" t="s">
        <v>31</v>
      </c>
      <c r="B91" s="684"/>
      <c r="C91" s="274"/>
      <c r="D91" s="274"/>
      <c r="E91" s="706"/>
      <c r="F91" s="707"/>
      <c r="G91" s="707"/>
      <c r="H91" s="689" t="s">
        <v>84</v>
      </c>
      <c r="J91" s="11" t="s">
        <v>335</v>
      </c>
      <c r="K91" s="67">
        <v>0</v>
      </c>
      <c r="L91" s="150">
        <f>F98</f>
        <v>350</v>
      </c>
      <c r="M91" s="150">
        <f>F98</f>
        <v>350</v>
      </c>
      <c r="N91" s="150">
        <f>F98</f>
        <v>350</v>
      </c>
      <c r="O91" s="150">
        <f>F98</f>
        <v>350</v>
      </c>
      <c r="P91" s="150">
        <f>F98</f>
        <v>350</v>
      </c>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row>
    <row r="92" spans="1:110" ht="51">
      <c r="A92" s="13" t="s">
        <v>38</v>
      </c>
      <c r="B92" s="13">
        <v>1</v>
      </c>
      <c r="C92" s="11" t="s">
        <v>64</v>
      </c>
      <c r="D92" s="69">
        <f>Prices!C40</f>
        <v>850</v>
      </c>
      <c r="E92" s="63">
        <v>1</v>
      </c>
      <c r="F92" s="150">
        <f>E92*D92</f>
        <v>850</v>
      </c>
      <c r="G92" s="243">
        <f>E92*D92</f>
        <v>850</v>
      </c>
      <c r="H92" s="151" t="s">
        <v>179</v>
      </c>
      <c r="J92" s="11" t="s">
        <v>336</v>
      </c>
      <c r="K92" s="11">
        <v>0</v>
      </c>
      <c r="L92" s="67">
        <f>F99</f>
        <v>66.5</v>
      </c>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row>
    <row r="93" spans="1:110" ht="76.5">
      <c r="A93" s="11" t="s">
        <v>197</v>
      </c>
      <c r="B93" s="11">
        <v>1</v>
      </c>
      <c r="C93" s="11" t="s">
        <v>64</v>
      </c>
      <c r="D93" s="69">
        <f>Prices!C37</f>
        <v>950</v>
      </c>
      <c r="E93" s="63">
        <v>1</v>
      </c>
      <c r="F93" s="150">
        <f>E93*D93</f>
        <v>950</v>
      </c>
      <c r="G93" s="243">
        <f>E93*D93</f>
        <v>950</v>
      </c>
      <c r="H93" s="151" t="s">
        <v>198</v>
      </c>
      <c r="J93" s="204" t="s">
        <v>280</v>
      </c>
      <c r="K93" s="33">
        <f aca="true" t="shared" si="33" ref="K93:AP93">SUM(K85:K89)-SUM(K90:K92)</f>
        <v>-2368</v>
      </c>
      <c r="L93" s="33">
        <f t="shared" si="33"/>
        <v>-416.5</v>
      </c>
      <c r="M93" s="33">
        <f t="shared" si="33"/>
        <v>-350</v>
      </c>
      <c r="N93" s="33">
        <f t="shared" si="33"/>
        <v>-350</v>
      </c>
      <c r="O93" s="33">
        <f t="shared" si="33"/>
        <v>-350</v>
      </c>
      <c r="P93" s="33">
        <f t="shared" si="33"/>
        <v>-350</v>
      </c>
      <c r="Q93" s="33">
        <f t="shared" si="33"/>
        <v>0</v>
      </c>
      <c r="R93" s="33">
        <f t="shared" si="33"/>
        <v>0</v>
      </c>
      <c r="S93" s="33">
        <f t="shared" si="33"/>
        <v>0</v>
      </c>
      <c r="T93" s="33">
        <f t="shared" si="33"/>
        <v>0</v>
      </c>
      <c r="U93" s="33">
        <f t="shared" si="33"/>
        <v>0</v>
      </c>
      <c r="V93" s="33">
        <f t="shared" si="33"/>
        <v>0</v>
      </c>
      <c r="W93" s="33">
        <f t="shared" si="33"/>
        <v>0</v>
      </c>
      <c r="X93" s="33">
        <f t="shared" si="33"/>
        <v>0</v>
      </c>
      <c r="Y93" s="33">
        <f t="shared" si="33"/>
        <v>0</v>
      </c>
      <c r="Z93" s="33">
        <f t="shared" si="33"/>
        <v>0</v>
      </c>
      <c r="AA93" s="33">
        <f t="shared" si="33"/>
        <v>0</v>
      </c>
      <c r="AB93" s="33">
        <f t="shared" si="33"/>
        <v>0</v>
      </c>
      <c r="AC93" s="33">
        <f t="shared" si="33"/>
        <v>0</v>
      </c>
      <c r="AD93" s="33">
        <f t="shared" si="33"/>
        <v>0</v>
      </c>
      <c r="AE93" s="33">
        <f t="shared" si="33"/>
        <v>0</v>
      </c>
      <c r="AF93" s="33">
        <f t="shared" si="33"/>
        <v>0</v>
      </c>
      <c r="AG93" s="33">
        <f t="shared" si="33"/>
        <v>0</v>
      </c>
      <c r="AH93" s="33">
        <f t="shared" si="33"/>
        <v>0</v>
      </c>
      <c r="AI93" s="33">
        <f t="shared" si="33"/>
        <v>0</v>
      </c>
      <c r="AJ93" s="33">
        <f t="shared" si="33"/>
        <v>0</v>
      </c>
      <c r="AK93" s="33">
        <f t="shared" si="33"/>
        <v>0</v>
      </c>
      <c r="AL93" s="33">
        <f t="shared" si="33"/>
        <v>0</v>
      </c>
      <c r="AM93" s="33">
        <f t="shared" si="33"/>
        <v>0</v>
      </c>
      <c r="AN93" s="33">
        <f t="shared" si="33"/>
        <v>0</v>
      </c>
      <c r="AO93" s="33">
        <f t="shared" si="33"/>
        <v>0</v>
      </c>
      <c r="AP93" s="33">
        <f t="shared" si="33"/>
        <v>0</v>
      </c>
      <c r="AQ93" s="33">
        <f aca="true" t="shared" si="34" ref="AQ93:BV93">SUM(AQ85:AQ89)-SUM(AQ90:AQ92)</f>
        <v>0</v>
      </c>
      <c r="AR93" s="33">
        <f t="shared" si="34"/>
        <v>0</v>
      </c>
      <c r="AS93" s="33">
        <f t="shared" si="34"/>
        <v>0</v>
      </c>
      <c r="AT93" s="33">
        <f t="shared" si="34"/>
        <v>0</v>
      </c>
      <c r="AU93" s="33">
        <f t="shared" si="34"/>
        <v>0</v>
      </c>
      <c r="AV93" s="33">
        <f t="shared" si="34"/>
        <v>0</v>
      </c>
      <c r="AW93" s="33">
        <f t="shared" si="34"/>
        <v>0</v>
      </c>
      <c r="AX93" s="33">
        <f t="shared" si="34"/>
        <v>0</v>
      </c>
      <c r="AY93" s="33">
        <f t="shared" si="34"/>
        <v>0</v>
      </c>
      <c r="AZ93" s="33">
        <f t="shared" si="34"/>
        <v>0</v>
      </c>
      <c r="BA93" s="33">
        <f t="shared" si="34"/>
        <v>0</v>
      </c>
      <c r="BB93" s="33">
        <f t="shared" si="34"/>
        <v>0</v>
      </c>
      <c r="BC93" s="33">
        <f t="shared" si="34"/>
        <v>0</v>
      </c>
      <c r="BD93" s="33">
        <f t="shared" si="34"/>
        <v>0</v>
      </c>
      <c r="BE93" s="33">
        <f t="shared" si="34"/>
        <v>0</v>
      </c>
      <c r="BF93" s="33">
        <f t="shared" si="34"/>
        <v>0</v>
      </c>
      <c r="BG93" s="33">
        <f t="shared" si="34"/>
        <v>0</v>
      </c>
      <c r="BH93" s="33">
        <f t="shared" si="34"/>
        <v>0</v>
      </c>
      <c r="BI93" s="33">
        <f t="shared" si="34"/>
        <v>0</v>
      </c>
      <c r="BJ93" s="33">
        <f t="shared" si="34"/>
        <v>0</v>
      </c>
      <c r="BK93" s="33">
        <f t="shared" si="34"/>
        <v>0</v>
      </c>
      <c r="BL93" s="33">
        <f t="shared" si="34"/>
        <v>0</v>
      </c>
      <c r="BM93" s="33">
        <f t="shared" si="34"/>
        <v>0</v>
      </c>
      <c r="BN93" s="33">
        <f t="shared" si="34"/>
        <v>0</v>
      </c>
      <c r="BO93" s="33">
        <f t="shared" si="34"/>
        <v>0</v>
      </c>
      <c r="BP93" s="33">
        <f t="shared" si="34"/>
        <v>0</v>
      </c>
      <c r="BQ93" s="33">
        <f t="shared" si="34"/>
        <v>0</v>
      </c>
      <c r="BR93" s="33">
        <f t="shared" si="34"/>
        <v>0</v>
      </c>
      <c r="BS93" s="33">
        <f t="shared" si="34"/>
        <v>0</v>
      </c>
      <c r="BT93" s="33">
        <f t="shared" si="34"/>
        <v>0</v>
      </c>
      <c r="BU93" s="33">
        <f t="shared" si="34"/>
        <v>0</v>
      </c>
      <c r="BV93" s="33">
        <f t="shared" si="34"/>
        <v>0</v>
      </c>
      <c r="BW93" s="33">
        <f aca="true" t="shared" si="35" ref="BW93:DB93">SUM(BW85:BW89)-SUM(BW90:BW92)</f>
        <v>0</v>
      </c>
      <c r="BX93" s="33">
        <f t="shared" si="35"/>
        <v>0</v>
      </c>
      <c r="BY93" s="33">
        <f t="shared" si="35"/>
        <v>0</v>
      </c>
      <c r="BZ93" s="33">
        <f t="shared" si="35"/>
        <v>0</v>
      </c>
      <c r="CA93" s="33">
        <f t="shared" si="35"/>
        <v>0</v>
      </c>
      <c r="CB93" s="33">
        <f t="shared" si="35"/>
        <v>0</v>
      </c>
      <c r="CC93" s="33">
        <f t="shared" si="35"/>
        <v>0</v>
      </c>
      <c r="CD93" s="33">
        <f t="shared" si="35"/>
        <v>0</v>
      </c>
      <c r="CE93" s="33">
        <f t="shared" si="35"/>
        <v>0</v>
      </c>
      <c r="CF93" s="33">
        <f t="shared" si="35"/>
        <v>0</v>
      </c>
      <c r="CG93" s="33">
        <f t="shared" si="35"/>
        <v>0</v>
      </c>
      <c r="CH93" s="33">
        <f t="shared" si="35"/>
        <v>0</v>
      </c>
      <c r="CI93" s="33">
        <f t="shared" si="35"/>
        <v>0</v>
      </c>
      <c r="CJ93" s="33">
        <f t="shared" si="35"/>
        <v>0</v>
      </c>
      <c r="CK93" s="33">
        <f t="shared" si="35"/>
        <v>0</v>
      </c>
      <c r="CL93" s="33">
        <f t="shared" si="35"/>
        <v>0</v>
      </c>
      <c r="CM93" s="33">
        <f t="shared" si="35"/>
        <v>0</v>
      </c>
      <c r="CN93" s="33">
        <f t="shared" si="35"/>
        <v>0</v>
      </c>
      <c r="CO93" s="33">
        <f t="shared" si="35"/>
        <v>0</v>
      </c>
      <c r="CP93" s="33">
        <f t="shared" si="35"/>
        <v>0</v>
      </c>
      <c r="CQ93" s="33">
        <f t="shared" si="35"/>
        <v>0</v>
      </c>
      <c r="CR93" s="33">
        <f t="shared" si="35"/>
        <v>0</v>
      </c>
      <c r="CS93" s="33">
        <f t="shared" si="35"/>
        <v>0</v>
      </c>
      <c r="CT93" s="33">
        <f t="shared" si="35"/>
        <v>0</v>
      </c>
      <c r="CU93" s="33">
        <f t="shared" si="35"/>
        <v>0</v>
      </c>
      <c r="CV93" s="33">
        <f t="shared" si="35"/>
        <v>0</v>
      </c>
      <c r="CW93" s="33">
        <f t="shared" si="35"/>
        <v>0</v>
      </c>
      <c r="CX93" s="33">
        <f t="shared" si="35"/>
        <v>0</v>
      </c>
      <c r="CY93" s="33">
        <f t="shared" si="35"/>
        <v>0</v>
      </c>
      <c r="CZ93" s="33">
        <f t="shared" si="35"/>
        <v>0</v>
      </c>
      <c r="DA93" s="33">
        <f t="shared" si="35"/>
        <v>0</v>
      </c>
      <c r="DB93" s="33">
        <f t="shared" si="35"/>
        <v>0</v>
      </c>
      <c r="DC93" s="33">
        <f>SUM(DC85:DC89)-SUM(DC90:DC92)</f>
        <v>0</v>
      </c>
      <c r="DD93" s="33">
        <f>SUM(DD85:DD89)-SUM(DD90:DD92)</f>
        <v>0</v>
      </c>
      <c r="DE93" s="33">
        <f>SUM(DE85:DE89)-SUM(DE90:DE92)</f>
        <v>0</v>
      </c>
      <c r="DF93" s="33">
        <f>SUM(DF85:DF89)-SUM(DF90:DF92)</f>
        <v>0</v>
      </c>
    </row>
    <row r="94" spans="1:110" ht="76.5">
      <c r="A94" s="11" t="s">
        <v>199</v>
      </c>
      <c r="B94" s="11">
        <v>1</v>
      </c>
      <c r="C94" s="11" t="s">
        <v>64</v>
      </c>
      <c r="D94" s="69">
        <f>Prices!C38</f>
        <v>568</v>
      </c>
      <c r="E94" s="63">
        <v>1</v>
      </c>
      <c r="F94" s="150">
        <f>E94*D94</f>
        <v>568</v>
      </c>
      <c r="G94" s="243">
        <f>E94*D94</f>
        <v>568</v>
      </c>
      <c r="H94" s="151" t="s">
        <v>200</v>
      </c>
      <c r="J94" s="212" t="s">
        <v>289</v>
      </c>
      <c r="K94" s="188"/>
      <c r="N94" s="17" t="s">
        <v>422</v>
      </c>
      <c r="O94" s="6"/>
      <c r="P94" s="6"/>
      <c r="Q94" s="255"/>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row>
    <row r="95" spans="1:16" ht="18" customHeight="1">
      <c r="A95" s="65" t="s">
        <v>182</v>
      </c>
      <c r="B95" s="11"/>
      <c r="C95" s="11"/>
      <c r="D95" s="69"/>
      <c r="E95" s="63"/>
      <c r="F95" s="153">
        <f>SUM(F92:F94)</f>
        <v>2368</v>
      </c>
      <c r="G95" s="241">
        <f>SUM(G92:G94)</f>
        <v>2368</v>
      </c>
      <c r="H95" s="151"/>
      <c r="J95" s="32"/>
      <c r="K95" s="188"/>
      <c r="N95" s="222">
        <f>K85</f>
        <v>0</v>
      </c>
      <c r="O95" s="216" t="s">
        <v>43</v>
      </c>
      <c r="P95" s="188"/>
    </row>
    <row r="96" spans="1:15" ht="18" customHeight="1">
      <c r="A96" s="77"/>
      <c r="B96" s="12"/>
      <c r="C96" s="12"/>
      <c r="D96" s="158"/>
      <c r="E96" s="159"/>
      <c r="F96" s="159"/>
      <c r="G96" s="245"/>
      <c r="H96" s="151"/>
      <c r="J96" s="29" t="s">
        <v>291</v>
      </c>
      <c r="K96" s="153">
        <f>NPV('Farm &amp; Buffer Assumptions'!C74,K93:AD93)</f>
        <v>-3836.615503411518</v>
      </c>
      <c r="N96" s="223">
        <f>NPV('Farm &amp; Buffer Assumptions'!C74,K86:P86)</f>
        <v>0</v>
      </c>
      <c r="O96" s="10" t="s">
        <v>338</v>
      </c>
    </row>
    <row r="97" spans="1:15" ht="18" customHeight="1">
      <c r="A97" s="684" t="s">
        <v>39</v>
      </c>
      <c r="B97" s="684"/>
      <c r="C97" s="274"/>
      <c r="D97" s="274"/>
      <c r="E97" s="706"/>
      <c r="F97" s="696"/>
      <c r="G97" s="706"/>
      <c r="H97" s="689"/>
      <c r="J97" s="29" t="s">
        <v>292</v>
      </c>
      <c r="K97" s="153">
        <f>NPV('Farm &amp; Buffer Assumptions'!C74,K93:AN93)</f>
        <v>-3836.615503411518</v>
      </c>
      <c r="N97" s="223">
        <f>NPV('Farm &amp; Buffer Assumptions'!C74,K87:L87)</f>
        <v>0</v>
      </c>
      <c r="O97" s="216" t="s">
        <v>328</v>
      </c>
    </row>
    <row r="98" spans="1:25" ht="38.25">
      <c r="A98" s="11" t="s">
        <v>204</v>
      </c>
      <c r="B98" s="11">
        <f>'Farm &amp; Buffer Assumptions'!C94</f>
        <v>5</v>
      </c>
      <c r="C98" s="11" t="s">
        <v>64</v>
      </c>
      <c r="D98" s="69">
        <f>Prices!C42</f>
        <v>350</v>
      </c>
      <c r="E98" s="63">
        <v>1</v>
      </c>
      <c r="F98" s="150">
        <f>E98*D98</f>
        <v>350</v>
      </c>
      <c r="G98" s="243">
        <f>(-PV('Farm &amp; Buffer Assumptions'!C74,B98,F98))</f>
        <v>1558.137815855674</v>
      </c>
      <c r="H98" s="151" t="s">
        <v>183</v>
      </c>
      <c r="J98" s="29" t="s">
        <v>293</v>
      </c>
      <c r="K98" s="153">
        <f>NPV('Farm &amp; Buffer Assumptions'!C74,K93:AX93)</f>
        <v>-3836.615503411518</v>
      </c>
      <c r="L98" s="1"/>
      <c r="M98" s="1"/>
      <c r="N98" s="224">
        <f>NPV('Farm &amp; Buffer Assumptions'!C74,K88:Y88)</f>
        <v>0</v>
      </c>
      <c r="O98" s="216" t="s">
        <v>234</v>
      </c>
      <c r="P98" s="1"/>
      <c r="Q98" s="1"/>
      <c r="R98" s="1"/>
      <c r="S98" s="1"/>
      <c r="T98" s="1"/>
      <c r="U98" s="1"/>
      <c r="V98" s="1"/>
      <c r="W98" s="1"/>
      <c r="X98" s="1"/>
      <c r="Y98" s="1"/>
    </row>
    <row r="99" spans="1:15" ht="18" customHeight="1">
      <c r="A99" s="11" t="s">
        <v>342</v>
      </c>
      <c r="B99" s="11">
        <v>2</v>
      </c>
      <c r="C99" s="11" t="s">
        <v>64</v>
      </c>
      <c r="D99" s="69">
        <f>D93</f>
        <v>950</v>
      </c>
      <c r="E99" s="63">
        <v>0.07</v>
      </c>
      <c r="F99" s="150">
        <f>E99*D99</f>
        <v>66.5</v>
      </c>
      <c r="G99" s="243">
        <f>F99/(1+'Farm &amp; Buffer Assumptions'!C74)^B99</f>
        <v>61.48298816568047</v>
      </c>
      <c r="H99" s="151" t="s">
        <v>201</v>
      </c>
      <c r="J99" s="29" t="s">
        <v>294</v>
      </c>
      <c r="K99" s="153">
        <f>NPV('Farm &amp; Buffer Assumptions'!C74,K93:BH93)</f>
        <v>-3836.615503411518</v>
      </c>
      <c r="N99" s="223">
        <f>K89</f>
        <v>0</v>
      </c>
      <c r="O99" s="216" t="s">
        <v>86</v>
      </c>
    </row>
    <row r="100" spans="1:15" ht="18" customHeight="1">
      <c r="A100" s="65" t="s">
        <v>185</v>
      </c>
      <c r="B100" s="11"/>
      <c r="C100" s="11"/>
      <c r="D100" s="69"/>
      <c r="E100" s="63"/>
      <c r="F100" s="153">
        <f>SUM(F98:F99)</f>
        <v>416.5</v>
      </c>
      <c r="G100" s="241">
        <f>SUM(G98:G99)</f>
        <v>1619.6208040213546</v>
      </c>
      <c r="H100" s="151"/>
      <c r="J100" s="29" t="s">
        <v>295</v>
      </c>
      <c r="K100" s="153">
        <f>NPV('Farm &amp; Buffer Assumptions'!C74,K93:BR93)</f>
        <v>-3836.615503411518</v>
      </c>
      <c r="N100" s="225">
        <f>K90</f>
        <v>2368</v>
      </c>
      <c r="O100" s="193" t="s">
        <v>343</v>
      </c>
    </row>
    <row r="101" spans="1:15" ht="18" customHeight="1">
      <c r="A101" s="77"/>
      <c r="B101" s="12"/>
      <c r="C101" s="12"/>
      <c r="D101" s="158"/>
      <c r="E101" s="159"/>
      <c r="F101" s="160"/>
      <c r="G101" s="246"/>
      <c r="H101" s="151"/>
      <c r="J101" s="29" t="s">
        <v>296</v>
      </c>
      <c r="K101" s="153">
        <f>NPV('Farm &amp; Buffer Assumptions'!C74,K93:CB93)</f>
        <v>-3836.615503411518</v>
      </c>
      <c r="N101" s="223">
        <f>NPV('Farm &amp; Buffer Assumptions'!C74,K91:P91)</f>
        <v>1498.2094383227613</v>
      </c>
      <c r="O101" t="s">
        <v>339</v>
      </c>
    </row>
    <row r="102" spans="1:15" ht="18" customHeight="1">
      <c r="A102" s="70" t="s">
        <v>186</v>
      </c>
      <c r="B102" s="70"/>
      <c r="C102" s="70"/>
      <c r="D102" s="72"/>
      <c r="E102" s="73"/>
      <c r="F102" s="161">
        <f>F95+F100</f>
        <v>2784.5</v>
      </c>
      <c r="G102" s="247">
        <f>G95+G100</f>
        <v>3987.6208040213546</v>
      </c>
      <c r="H102" s="162"/>
      <c r="J102" s="29" t="s">
        <v>297</v>
      </c>
      <c r="K102" s="153">
        <f>NPV('Farm &amp; Buffer Assumptions'!C74,K93:CL93)</f>
        <v>-3836.615503411518</v>
      </c>
      <c r="N102" s="223">
        <f>NPV('Farm &amp; Buffer Assumptions'!C74,K92:L92)</f>
        <v>61.482988165680474</v>
      </c>
      <c r="O102" t="s">
        <v>337</v>
      </c>
    </row>
    <row r="103" spans="1:14" ht="18" customHeight="1">
      <c r="A103" s="77"/>
      <c r="B103" s="12"/>
      <c r="C103" s="12"/>
      <c r="D103" s="12"/>
      <c r="E103" s="159"/>
      <c r="F103" s="76"/>
      <c r="G103" s="245"/>
      <c r="H103" s="34"/>
      <c r="J103" s="29" t="s">
        <v>298</v>
      </c>
      <c r="K103" s="153">
        <f>NPV('Farm &amp; Buffer Assumptions'!C74,K93:CV93)</f>
        <v>-3836.615503411518</v>
      </c>
      <c r="N103" s="189"/>
    </row>
    <row r="104" spans="1:15" ht="18" customHeight="1">
      <c r="A104" s="692" t="s">
        <v>312</v>
      </c>
      <c r="B104" s="692"/>
      <c r="C104" s="692"/>
      <c r="D104" s="692"/>
      <c r="E104" s="693"/>
      <c r="F104" s="694"/>
      <c r="G104" s="694">
        <f>G89-G102</f>
        <v>-3987.6208040213546</v>
      </c>
      <c r="H104" s="695"/>
      <c r="J104" s="29" t="s">
        <v>299</v>
      </c>
      <c r="K104" s="153">
        <f>NPV('Farm &amp; Buffer Assumptions'!C74,K93:DF93)</f>
        <v>-3836.615503411518</v>
      </c>
      <c r="N104" s="277">
        <f>SUM(N95:N99)-SUM(N100:N102)</f>
        <v>-3927.692426488442</v>
      </c>
      <c r="O104" t="s">
        <v>346</v>
      </c>
    </row>
    <row r="105" spans="1:8" ht="37.5" customHeight="1">
      <c r="A105" s="756" t="s">
        <v>318</v>
      </c>
      <c r="B105" s="757"/>
      <c r="C105" s="757"/>
      <c r="D105" s="757"/>
      <c r="E105" s="757"/>
      <c r="F105" s="757"/>
      <c r="G105" s="757"/>
      <c r="H105" s="757"/>
    </row>
    <row r="106" spans="1:11" ht="29.25" customHeight="1">
      <c r="A106" s="759" t="s">
        <v>187</v>
      </c>
      <c r="B106" s="752"/>
      <c r="C106" s="752"/>
      <c r="D106" s="752"/>
      <c r="E106" s="752"/>
      <c r="F106" s="752"/>
      <c r="G106" s="752"/>
      <c r="H106" s="752"/>
      <c r="J106" t="s">
        <v>340</v>
      </c>
      <c r="K106" s="215">
        <f>K96-G104</f>
        <v>151.00530060983647</v>
      </c>
    </row>
    <row r="107" spans="1:8" ht="22.5" customHeight="1">
      <c r="A107" s="758" t="s">
        <v>188</v>
      </c>
      <c r="B107" s="752"/>
      <c r="C107" s="752"/>
      <c r="D107" s="752"/>
      <c r="E107" s="752"/>
      <c r="F107" s="752"/>
      <c r="G107" s="752"/>
      <c r="H107" s="752"/>
    </row>
    <row r="108" spans="1:8" ht="26.25" customHeight="1">
      <c r="A108" s="752" t="s">
        <v>202</v>
      </c>
      <c r="B108" s="752"/>
      <c r="C108" s="752"/>
      <c r="D108" s="752"/>
      <c r="E108" s="752"/>
      <c r="F108" s="752"/>
      <c r="G108" s="752"/>
      <c r="H108" s="752"/>
    </row>
    <row r="109" spans="1:8" ht="30.75" customHeight="1">
      <c r="A109" s="752" t="s">
        <v>190</v>
      </c>
      <c r="B109" s="752"/>
      <c r="C109" s="752"/>
      <c r="D109" s="752"/>
      <c r="E109" s="752"/>
      <c r="F109" s="752"/>
      <c r="G109" s="752"/>
      <c r="H109" s="752"/>
    </row>
    <row r="110" spans="1:7" ht="24.75" customHeight="1" thickBot="1">
      <c r="A110" s="1"/>
      <c r="B110" s="1"/>
      <c r="C110" s="1"/>
      <c r="D110" s="1"/>
      <c r="E110" s="1"/>
      <c r="G110" s="64"/>
    </row>
    <row r="111" spans="1:11" ht="57" thickBot="1">
      <c r="A111" s="477" t="s">
        <v>352</v>
      </c>
      <c r="B111" s="474" t="s">
        <v>176</v>
      </c>
      <c r="C111" s="475" t="s">
        <v>0</v>
      </c>
      <c r="D111" s="476" t="s">
        <v>11</v>
      </c>
      <c r="E111" s="478" t="s">
        <v>22</v>
      </c>
      <c r="F111" s="476" t="s">
        <v>18</v>
      </c>
      <c r="G111" s="478" t="s">
        <v>177</v>
      </c>
      <c r="H111" s="475" t="s">
        <v>178</v>
      </c>
      <c r="K111" t="s">
        <v>290</v>
      </c>
    </row>
    <row r="112" spans="1:110" ht="18" customHeight="1" thickBot="1">
      <c r="A112" s="78" t="s">
        <v>42</v>
      </c>
      <c r="B112" s="79"/>
      <c r="C112" s="80"/>
      <c r="D112" s="81"/>
      <c r="E112" s="147"/>
      <c r="F112" s="148"/>
      <c r="G112" s="242"/>
      <c r="H112" s="149"/>
      <c r="J112" s="205" t="s">
        <v>278</v>
      </c>
      <c r="K112" s="11">
        <v>1</v>
      </c>
      <c r="L112" s="11">
        <v>2</v>
      </c>
      <c r="M112" s="11">
        <v>3</v>
      </c>
      <c r="N112" s="11">
        <v>4</v>
      </c>
      <c r="O112" s="11">
        <v>5</v>
      </c>
      <c r="P112" s="11">
        <v>6</v>
      </c>
      <c r="Q112" s="11">
        <v>7</v>
      </c>
      <c r="R112" s="11">
        <v>8</v>
      </c>
      <c r="S112" s="11">
        <v>9</v>
      </c>
      <c r="T112" s="11">
        <v>10</v>
      </c>
      <c r="U112" s="11">
        <v>11</v>
      </c>
      <c r="V112" s="11">
        <v>12</v>
      </c>
      <c r="W112" s="11">
        <v>13</v>
      </c>
      <c r="X112" s="11">
        <v>14</v>
      </c>
      <c r="Y112" s="11">
        <v>15</v>
      </c>
      <c r="Z112" s="179">
        <v>16</v>
      </c>
      <c r="AA112" s="179">
        <v>17</v>
      </c>
      <c r="AB112" s="179">
        <v>18</v>
      </c>
      <c r="AC112" s="179">
        <v>19</v>
      </c>
      <c r="AD112" s="179">
        <v>20</v>
      </c>
      <c r="AE112" s="179">
        <v>21</v>
      </c>
      <c r="AF112" s="179">
        <v>22</v>
      </c>
      <c r="AG112" s="179">
        <v>23</v>
      </c>
      <c r="AH112" s="179">
        <v>24</v>
      </c>
      <c r="AI112" s="179">
        <v>25</v>
      </c>
      <c r="AJ112" s="179">
        <v>26</v>
      </c>
      <c r="AK112" s="179">
        <v>27</v>
      </c>
      <c r="AL112" s="179">
        <v>28</v>
      </c>
      <c r="AM112" s="179">
        <v>29</v>
      </c>
      <c r="AN112" s="179">
        <v>30</v>
      </c>
      <c r="AO112" s="179">
        <v>31</v>
      </c>
      <c r="AP112" s="179">
        <v>32</v>
      </c>
      <c r="AQ112" s="179">
        <v>33</v>
      </c>
      <c r="AR112" s="179">
        <v>34</v>
      </c>
      <c r="AS112" s="179">
        <v>35</v>
      </c>
      <c r="AT112" s="179">
        <v>36</v>
      </c>
      <c r="AU112" s="179">
        <v>37</v>
      </c>
      <c r="AV112" s="179">
        <v>38</v>
      </c>
      <c r="AW112" s="179">
        <v>39</v>
      </c>
      <c r="AX112" s="179">
        <v>40</v>
      </c>
      <c r="AY112" s="179">
        <v>41</v>
      </c>
      <c r="AZ112" s="179">
        <v>42</v>
      </c>
      <c r="BA112" s="179">
        <v>43</v>
      </c>
      <c r="BB112" s="179">
        <v>44</v>
      </c>
      <c r="BC112" s="179">
        <v>45</v>
      </c>
      <c r="BD112" s="179">
        <v>46</v>
      </c>
      <c r="BE112" s="179">
        <v>47</v>
      </c>
      <c r="BF112" s="179">
        <v>48</v>
      </c>
      <c r="BG112" s="179">
        <v>49</v>
      </c>
      <c r="BH112" s="179">
        <v>50</v>
      </c>
      <c r="BI112" s="179">
        <v>51</v>
      </c>
      <c r="BJ112" s="179">
        <v>52</v>
      </c>
      <c r="BK112" s="179">
        <v>53</v>
      </c>
      <c r="BL112" s="179">
        <v>54</v>
      </c>
      <c r="BM112" s="179">
        <v>55</v>
      </c>
      <c r="BN112" s="179">
        <v>56</v>
      </c>
      <c r="BO112" s="179">
        <v>57</v>
      </c>
      <c r="BP112" s="179">
        <v>58</v>
      </c>
      <c r="BQ112" s="179">
        <v>59</v>
      </c>
      <c r="BR112" s="179">
        <v>60</v>
      </c>
      <c r="BS112" s="179">
        <v>61</v>
      </c>
      <c r="BT112" s="179">
        <v>62</v>
      </c>
      <c r="BU112" s="179">
        <v>63</v>
      </c>
      <c r="BV112" s="179">
        <v>64</v>
      </c>
      <c r="BW112" s="179">
        <v>65</v>
      </c>
      <c r="BX112" s="179">
        <v>66</v>
      </c>
      <c r="BY112" s="179">
        <v>67</v>
      </c>
      <c r="BZ112" s="179">
        <v>68</v>
      </c>
      <c r="CA112" s="179">
        <v>69</v>
      </c>
      <c r="CB112" s="179">
        <v>70</v>
      </c>
      <c r="CC112" s="179">
        <v>71</v>
      </c>
      <c r="CD112" s="179">
        <v>72</v>
      </c>
      <c r="CE112" s="179">
        <v>73</v>
      </c>
      <c r="CF112" s="179">
        <v>74</v>
      </c>
      <c r="CG112" s="179">
        <v>75</v>
      </c>
      <c r="CH112" s="179">
        <v>76</v>
      </c>
      <c r="CI112" s="179">
        <v>77</v>
      </c>
      <c r="CJ112" s="179">
        <v>78</v>
      </c>
      <c r="CK112" s="179">
        <v>79</v>
      </c>
      <c r="CL112" s="179">
        <v>80</v>
      </c>
      <c r="CM112" s="179">
        <v>81</v>
      </c>
      <c r="CN112" s="179">
        <v>82</v>
      </c>
      <c r="CO112" s="179">
        <v>83</v>
      </c>
      <c r="CP112" s="179">
        <v>84</v>
      </c>
      <c r="CQ112" s="179">
        <v>85</v>
      </c>
      <c r="CR112" s="179">
        <v>86</v>
      </c>
      <c r="CS112" s="179">
        <v>87</v>
      </c>
      <c r="CT112" s="179">
        <v>88</v>
      </c>
      <c r="CU112" s="179">
        <v>89</v>
      </c>
      <c r="CV112" s="179">
        <v>90</v>
      </c>
      <c r="CW112" s="179">
        <v>91</v>
      </c>
      <c r="CX112" s="179">
        <v>92</v>
      </c>
      <c r="CY112" s="179">
        <v>93</v>
      </c>
      <c r="CZ112" s="179">
        <v>94</v>
      </c>
      <c r="DA112" s="179">
        <v>95</v>
      </c>
      <c r="DB112" s="179">
        <v>96</v>
      </c>
      <c r="DC112" s="179">
        <v>97</v>
      </c>
      <c r="DD112" s="179">
        <v>98</v>
      </c>
      <c r="DE112" s="179">
        <v>99</v>
      </c>
      <c r="DF112" s="179">
        <v>100</v>
      </c>
    </row>
    <row r="113" spans="1:110" ht="18" customHeight="1" thickBot="1">
      <c r="A113" s="13" t="s">
        <v>43</v>
      </c>
      <c r="B113" s="11">
        <v>1</v>
      </c>
      <c r="C113" s="11" t="s">
        <v>64</v>
      </c>
      <c r="D113" s="11">
        <f>IF('Farm &amp; Buffer Assumptions'!C119=1,F124*'Farm &amp; Buffer Assumptions'!C92,0)</f>
        <v>0</v>
      </c>
      <c r="E113" s="63">
        <v>1</v>
      </c>
      <c r="F113" s="67">
        <f>E113*D113</f>
        <v>0</v>
      </c>
      <c r="G113" s="227">
        <f>F113</f>
        <v>0</v>
      </c>
      <c r="H113" s="169"/>
      <c r="J113" s="11" t="s">
        <v>279</v>
      </c>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row>
    <row r="114" spans="1:110" ht="18" customHeight="1" thickBot="1">
      <c r="A114" s="13" t="s">
        <v>327</v>
      </c>
      <c r="B114" s="11">
        <f>'Farm &amp; Buffer Assumptions'!C94</f>
        <v>5</v>
      </c>
      <c r="C114" s="11" t="s">
        <v>64</v>
      </c>
      <c r="D114" s="11">
        <f>IF('Farm &amp; Buffer Assumptions'!C120=1,F127*'Farm &amp; Buffer Assumptions'!C93,0)</f>
        <v>0</v>
      </c>
      <c r="E114" s="63">
        <v>1</v>
      </c>
      <c r="F114" s="67">
        <f>E114*D114</f>
        <v>0</v>
      </c>
      <c r="G114" s="248">
        <f>(-PV('Farm &amp; Buffer Assumptions'!C74,B114,F114))</f>
        <v>0</v>
      </c>
      <c r="H114" s="213"/>
      <c r="J114" s="11" t="s">
        <v>283</v>
      </c>
      <c r="K114" s="67">
        <f>F113</f>
        <v>0</v>
      </c>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row>
    <row r="115" spans="1:110" ht="18" customHeight="1" thickBot="1">
      <c r="A115" s="13" t="s">
        <v>328</v>
      </c>
      <c r="B115" s="11">
        <v>2</v>
      </c>
      <c r="C115" s="11" t="s">
        <v>64</v>
      </c>
      <c r="D115" s="11">
        <f>IF('Farm &amp; Buffer Assumptions'!C120=1,F128*'Farm &amp; Buffer Assumptions'!C93,0)</f>
        <v>0</v>
      </c>
      <c r="E115" s="63">
        <v>1</v>
      </c>
      <c r="F115" s="67">
        <f>E115*D115</f>
        <v>0</v>
      </c>
      <c r="G115" s="243">
        <f>F115/(1+'Farm &amp; Buffer Assumptions'!C74)^B115</f>
        <v>0</v>
      </c>
      <c r="H115" s="213"/>
      <c r="J115" s="11" t="s">
        <v>333</v>
      </c>
      <c r="K115" s="11">
        <v>0</v>
      </c>
      <c r="L115" s="67">
        <f aca="true" t="shared" si="36" ref="L115:AQ115">IF(L112=($B$114+1),$F$114,IF(L112&lt;=$B$114,$F$114,0))</f>
        <v>0</v>
      </c>
      <c r="M115" s="67">
        <f t="shared" si="36"/>
        <v>0</v>
      </c>
      <c r="N115" s="67">
        <f t="shared" si="36"/>
        <v>0</v>
      </c>
      <c r="O115" s="67">
        <f t="shared" si="36"/>
        <v>0</v>
      </c>
      <c r="P115" s="67">
        <f t="shared" si="36"/>
        <v>0</v>
      </c>
      <c r="Q115" s="67">
        <f t="shared" si="36"/>
        <v>0</v>
      </c>
      <c r="R115" s="67">
        <f t="shared" si="36"/>
        <v>0</v>
      </c>
      <c r="S115" s="67">
        <f t="shared" si="36"/>
        <v>0</v>
      </c>
      <c r="T115" s="67">
        <f t="shared" si="36"/>
        <v>0</v>
      </c>
      <c r="U115" s="67">
        <f t="shared" si="36"/>
        <v>0</v>
      </c>
      <c r="V115" s="67">
        <f t="shared" si="36"/>
        <v>0</v>
      </c>
      <c r="W115" s="67">
        <f t="shared" si="36"/>
        <v>0</v>
      </c>
      <c r="X115" s="67">
        <f t="shared" si="36"/>
        <v>0</v>
      </c>
      <c r="Y115" s="67">
        <f t="shared" si="36"/>
        <v>0</v>
      </c>
      <c r="Z115" s="67">
        <f t="shared" si="36"/>
        <v>0</v>
      </c>
      <c r="AA115" s="67">
        <f t="shared" si="36"/>
        <v>0</v>
      </c>
      <c r="AB115" s="67">
        <f t="shared" si="36"/>
        <v>0</v>
      </c>
      <c r="AC115" s="67">
        <f t="shared" si="36"/>
        <v>0</v>
      </c>
      <c r="AD115" s="67">
        <f t="shared" si="36"/>
        <v>0</v>
      </c>
      <c r="AE115" s="67">
        <f t="shared" si="36"/>
        <v>0</v>
      </c>
      <c r="AF115" s="67">
        <f t="shared" si="36"/>
        <v>0</v>
      </c>
      <c r="AG115" s="67">
        <f t="shared" si="36"/>
        <v>0</v>
      </c>
      <c r="AH115" s="67">
        <f t="shared" si="36"/>
        <v>0</v>
      </c>
      <c r="AI115" s="67">
        <f t="shared" si="36"/>
        <v>0</v>
      </c>
      <c r="AJ115" s="67">
        <f t="shared" si="36"/>
        <v>0</v>
      </c>
      <c r="AK115" s="67">
        <f t="shared" si="36"/>
        <v>0</v>
      </c>
      <c r="AL115" s="67">
        <f t="shared" si="36"/>
        <v>0</v>
      </c>
      <c r="AM115" s="67">
        <f t="shared" si="36"/>
        <v>0</v>
      </c>
      <c r="AN115" s="67">
        <f t="shared" si="36"/>
        <v>0</v>
      </c>
      <c r="AO115" s="67">
        <f t="shared" si="36"/>
        <v>0</v>
      </c>
      <c r="AP115" s="67">
        <f t="shared" si="36"/>
        <v>0</v>
      </c>
      <c r="AQ115" s="67">
        <f t="shared" si="36"/>
        <v>0</v>
      </c>
      <c r="AR115" s="67">
        <f aca="true" t="shared" si="37" ref="AR115:BX115">IF(AR112=($B$114+1),$F$114,IF(AR112&lt;=$B$114,$F$114,0))</f>
        <v>0</v>
      </c>
      <c r="AS115" s="67">
        <f t="shared" si="37"/>
        <v>0</v>
      </c>
      <c r="AT115" s="67">
        <f t="shared" si="37"/>
        <v>0</v>
      </c>
      <c r="AU115" s="67">
        <f t="shared" si="37"/>
        <v>0</v>
      </c>
      <c r="AV115" s="67">
        <f t="shared" si="37"/>
        <v>0</v>
      </c>
      <c r="AW115" s="67">
        <f t="shared" si="37"/>
        <v>0</v>
      </c>
      <c r="AX115" s="67">
        <f t="shared" si="37"/>
        <v>0</v>
      </c>
      <c r="AY115" s="67">
        <f t="shared" si="37"/>
        <v>0</v>
      </c>
      <c r="AZ115" s="67">
        <f t="shared" si="37"/>
        <v>0</v>
      </c>
      <c r="BA115" s="67">
        <f t="shared" si="37"/>
        <v>0</v>
      </c>
      <c r="BB115" s="67">
        <f t="shared" si="37"/>
        <v>0</v>
      </c>
      <c r="BC115" s="67">
        <f t="shared" si="37"/>
        <v>0</v>
      </c>
      <c r="BD115" s="67">
        <f t="shared" si="37"/>
        <v>0</v>
      </c>
      <c r="BE115" s="67">
        <f t="shared" si="37"/>
        <v>0</v>
      </c>
      <c r="BF115" s="67">
        <f t="shared" si="37"/>
        <v>0</v>
      </c>
      <c r="BG115" s="67">
        <f t="shared" si="37"/>
        <v>0</v>
      </c>
      <c r="BH115" s="67">
        <f t="shared" si="37"/>
        <v>0</v>
      </c>
      <c r="BI115" s="67">
        <f t="shared" si="37"/>
        <v>0</v>
      </c>
      <c r="BJ115" s="67">
        <f t="shared" si="37"/>
        <v>0</v>
      </c>
      <c r="BK115" s="67">
        <f t="shared" si="37"/>
        <v>0</v>
      </c>
      <c r="BL115" s="67">
        <f t="shared" si="37"/>
        <v>0</v>
      </c>
      <c r="BM115" s="67">
        <f t="shared" si="37"/>
        <v>0</v>
      </c>
      <c r="BN115" s="67">
        <f t="shared" si="37"/>
        <v>0</v>
      </c>
      <c r="BO115" s="67">
        <f t="shared" si="37"/>
        <v>0</v>
      </c>
      <c r="BP115" s="67">
        <f t="shared" si="37"/>
        <v>0</v>
      </c>
      <c r="BQ115" s="67">
        <f t="shared" si="37"/>
        <v>0</v>
      </c>
      <c r="BR115" s="67">
        <f t="shared" si="37"/>
        <v>0</v>
      </c>
      <c r="BS115" s="67">
        <f t="shared" si="37"/>
        <v>0</v>
      </c>
      <c r="BT115" s="67">
        <f t="shared" si="37"/>
        <v>0</v>
      </c>
      <c r="BU115" s="67">
        <f t="shared" si="37"/>
        <v>0</v>
      </c>
      <c r="BV115" s="67">
        <f t="shared" si="37"/>
        <v>0</v>
      </c>
      <c r="BW115" s="67">
        <f t="shared" si="37"/>
        <v>0</v>
      </c>
      <c r="BX115" s="67">
        <f t="shared" si="37"/>
        <v>0</v>
      </c>
      <c r="BY115" s="67">
        <f aca="true" t="shared" si="38" ref="BY115:DF115">IF(BY112=($B$114+1),$F$114,IF(BY112&lt;=$B$114,$F$114,0))</f>
        <v>0</v>
      </c>
      <c r="BZ115" s="67">
        <f t="shared" si="38"/>
        <v>0</v>
      </c>
      <c r="CA115" s="67">
        <f t="shared" si="38"/>
        <v>0</v>
      </c>
      <c r="CB115" s="67">
        <f t="shared" si="38"/>
        <v>0</v>
      </c>
      <c r="CC115" s="67">
        <f t="shared" si="38"/>
        <v>0</v>
      </c>
      <c r="CD115" s="67">
        <f t="shared" si="38"/>
        <v>0</v>
      </c>
      <c r="CE115" s="67">
        <f t="shared" si="38"/>
        <v>0</v>
      </c>
      <c r="CF115" s="67">
        <f t="shared" si="38"/>
        <v>0</v>
      </c>
      <c r="CG115" s="67">
        <f t="shared" si="38"/>
        <v>0</v>
      </c>
      <c r="CH115" s="67">
        <f t="shared" si="38"/>
        <v>0</v>
      </c>
      <c r="CI115" s="67">
        <f t="shared" si="38"/>
        <v>0</v>
      </c>
      <c r="CJ115" s="67">
        <f t="shared" si="38"/>
        <v>0</v>
      </c>
      <c r="CK115" s="67">
        <f t="shared" si="38"/>
        <v>0</v>
      </c>
      <c r="CL115" s="67">
        <f t="shared" si="38"/>
        <v>0</v>
      </c>
      <c r="CM115" s="67">
        <f t="shared" si="38"/>
        <v>0</v>
      </c>
      <c r="CN115" s="67">
        <f t="shared" si="38"/>
        <v>0</v>
      </c>
      <c r="CO115" s="67">
        <f t="shared" si="38"/>
        <v>0</v>
      </c>
      <c r="CP115" s="67">
        <f t="shared" si="38"/>
        <v>0</v>
      </c>
      <c r="CQ115" s="67">
        <f t="shared" si="38"/>
        <v>0</v>
      </c>
      <c r="CR115" s="67">
        <f t="shared" si="38"/>
        <v>0</v>
      </c>
      <c r="CS115" s="67">
        <f t="shared" si="38"/>
        <v>0</v>
      </c>
      <c r="CT115" s="67">
        <f t="shared" si="38"/>
        <v>0</v>
      </c>
      <c r="CU115" s="67">
        <f t="shared" si="38"/>
        <v>0</v>
      </c>
      <c r="CV115" s="67">
        <f t="shared" si="38"/>
        <v>0</v>
      </c>
      <c r="CW115" s="67">
        <f t="shared" si="38"/>
        <v>0</v>
      </c>
      <c r="CX115" s="67">
        <f t="shared" si="38"/>
        <v>0</v>
      </c>
      <c r="CY115" s="67">
        <f t="shared" si="38"/>
        <v>0</v>
      </c>
      <c r="CZ115" s="67">
        <f t="shared" si="38"/>
        <v>0</v>
      </c>
      <c r="DA115" s="67">
        <f t="shared" si="38"/>
        <v>0</v>
      </c>
      <c r="DB115" s="67">
        <f t="shared" si="38"/>
        <v>0</v>
      </c>
      <c r="DC115" s="67">
        <f t="shared" si="38"/>
        <v>0</v>
      </c>
      <c r="DD115" s="67">
        <f t="shared" si="38"/>
        <v>0</v>
      </c>
      <c r="DE115" s="67">
        <f t="shared" si="38"/>
        <v>0</v>
      </c>
      <c r="DF115" s="67">
        <f t="shared" si="38"/>
        <v>0</v>
      </c>
    </row>
    <row r="116" spans="1:110" ht="18" customHeight="1" thickBot="1">
      <c r="A116" s="11" t="s">
        <v>234</v>
      </c>
      <c r="B116" s="11">
        <f>'Farm &amp; Buffer Assumptions'!C89</f>
        <v>15</v>
      </c>
      <c r="C116" s="11" t="s">
        <v>64</v>
      </c>
      <c r="D116" s="11">
        <f>IF('Farm &amp; Buffer Assumptions'!C117=1,Prices!C29*'Farm &amp; Buffer Assumptions'!C90,0)</f>
        <v>0</v>
      </c>
      <c r="E116" s="63">
        <v>1</v>
      </c>
      <c r="F116" s="67">
        <f>E116*D116</f>
        <v>0</v>
      </c>
      <c r="G116" s="227">
        <f>-PV('Farm &amp; Buffer Assumptions'!C74,B116,F116)</f>
        <v>0</v>
      </c>
      <c r="H116" s="169"/>
      <c r="J116" s="11" t="s">
        <v>334</v>
      </c>
      <c r="K116" s="11">
        <v>0</v>
      </c>
      <c r="L116" s="67">
        <f>F115</f>
        <v>0</v>
      </c>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row>
    <row r="117" spans="1:110" ht="18" customHeight="1" thickBot="1">
      <c r="A117" s="11" t="s">
        <v>86</v>
      </c>
      <c r="B117" s="11">
        <v>1</v>
      </c>
      <c r="C117" s="11" t="s">
        <v>64</v>
      </c>
      <c r="D117" s="11">
        <f>IF('Farm &amp; Buffer Assumptions'!C118=1,'Farm &amp; Buffer Assumptions'!C91,0)</f>
        <v>0</v>
      </c>
      <c r="E117" s="63">
        <v>1</v>
      </c>
      <c r="F117" s="67">
        <f>E117*D117</f>
        <v>0</v>
      </c>
      <c r="G117" s="227">
        <f>F117</f>
        <v>0</v>
      </c>
      <c r="H117" s="169"/>
      <c r="J117" s="11" t="s">
        <v>285</v>
      </c>
      <c r="K117" s="67">
        <f aca="true" t="shared" si="39" ref="K117:AP117">IF(K112&lt;=$B$116,$F$116,0)</f>
        <v>0</v>
      </c>
      <c r="L117" s="67">
        <f t="shared" si="39"/>
        <v>0</v>
      </c>
      <c r="M117" s="67">
        <f t="shared" si="39"/>
        <v>0</v>
      </c>
      <c r="N117" s="67">
        <f t="shared" si="39"/>
        <v>0</v>
      </c>
      <c r="O117" s="67">
        <f t="shared" si="39"/>
        <v>0</v>
      </c>
      <c r="P117" s="67">
        <f t="shared" si="39"/>
        <v>0</v>
      </c>
      <c r="Q117" s="67">
        <f t="shared" si="39"/>
        <v>0</v>
      </c>
      <c r="R117" s="67">
        <f t="shared" si="39"/>
        <v>0</v>
      </c>
      <c r="S117" s="67">
        <f t="shared" si="39"/>
        <v>0</v>
      </c>
      <c r="T117" s="67">
        <f t="shared" si="39"/>
        <v>0</v>
      </c>
      <c r="U117" s="67">
        <f t="shared" si="39"/>
        <v>0</v>
      </c>
      <c r="V117" s="67">
        <f t="shared" si="39"/>
        <v>0</v>
      </c>
      <c r="W117" s="67">
        <f t="shared" si="39"/>
        <v>0</v>
      </c>
      <c r="X117" s="67">
        <f t="shared" si="39"/>
        <v>0</v>
      </c>
      <c r="Y117" s="67">
        <f t="shared" si="39"/>
        <v>0</v>
      </c>
      <c r="Z117" s="67">
        <f t="shared" si="39"/>
        <v>0</v>
      </c>
      <c r="AA117" s="67">
        <f t="shared" si="39"/>
        <v>0</v>
      </c>
      <c r="AB117" s="67">
        <f t="shared" si="39"/>
        <v>0</v>
      </c>
      <c r="AC117" s="67">
        <f t="shared" si="39"/>
        <v>0</v>
      </c>
      <c r="AD117" s="67">
        <f t="shared" si="39"/>
        <v>0</v>
      </c>
      <c r="AE117" s="67">
        <f t="shared" si="39"/>
        <v>0</v>
      </c>
      <c r="AF117" s="67">
        <f t="shared" si="39"/>
        <v>0</v>
      </c>
      <c r="AG117" s="67">
        <f t="shared" si="39"/>
        <v>0</v>
      </c>
      <c r="AH117" s="67">
        <f t="shared" si="39"/>
        <v>0</v>
      </c>
      <c r="AI117" s="67">
        <f t="shared" si="39"/>
        <v>0</v>
      </c>
      <c r="AJ117" s="67">
        <f t="shared" si="39"/>
        <v>0</v>
      </c>
      <c r="AK117" s="67">
        <f t="shared" si="39"/>
        <v>0</v>
      </c>
      <c r="AL117" s="67">
        <f t="shared" si="39"/>
        <v>0</v>
      </c>
      <c r="AM117" s="67">
        <f t="shared" si="39"/>
        <v>0</v>
      </c>
      <c r="AN117" s="67">
        <f t="shared" si="39"/>
        <v>0</v>
      </c>
      <c r="AO117" s="67">
        <f t="shared" si="39"/>
        <v>0</v>
      </c>
      <c r="AP117" s="67">
        <f t="shared" si="39"/>
        <v>0</v>
      </c>
      <c r="AQ117" s="67">
        <f aca="true" t="shared" si="40" ref="AQ117:BW117">IF(AQ112&lt;=$B$116,$F$116,0)</f>
        <v>0</v>
      </c>
      <c r="AR117" s="67">
        <f t="shared" si="40"/>
        <v>0</v>
      </c>
      <c r="AS117" s="67">
        <f t="shared" si="40"/>
        <v>0</v>
      </c>
      <c r="AT117" s="67">
        <f t="shared" si="40"/>
        <v>0</v>
      </c>
      <c r="AU117" s="67">
        <f t="shared" si="40"/>
        <v>0</v>
      </c>
      <c r="AV117" s="67">
        <f t="shared" si="40"/>
        <v>0</v>
      </c>
      <c r="AW117" s="67">
        <f t="shared" si="40"/>
        <v>0</v>
      </c>
      <c r="AX117" s="67">
        <f t="shared" si="40"/>
        <v>0</v>
      </c>
      <c r="AY117" s="67">
        <f t="shared" si="40"/>
        <v>0</v>
      </c>
      <c r="AZ117" s="67">
        <f t="shared" si="40"/>
        <v>0</v>
      </c>
      <c r="BA117" s="67">
        <f t="shared" si="40"/>
        <v>0</v>
      </c>
      <c r="BB117" s="67">
        <f t="shared" si="40"/>
        <v>0</v>
      </c>
      <c r="BC117" s="67">
        <f t="shared" si="40"/>
        <v>0</v>
      </c>
      <c r="BD117" s="67">
        <f t="shared" si="40"/>
        <v>0</v>
      </c>
      <c r="BE117" s="67">
        <f t="shared" si="40"/>
        <v>0</v>
      </c>
      <c r="BF117" s="67">
        <f t="shared" si="40"/>
        <v>0</v>
      </c>
      <c r="BG117" s="67">
        <f t="shared" si="40"/>
        <v>0</v>
      </c>
      <c r="BH117" s="67">
        <f t="shared" si="40"/>
        <v>0</v>
      </c>
      <c r="BI117" s="67">
        <f t="shared" si="40"/>
        <v>0</v>
      </c>
      <c r="BJ117" s="67">
        <f t="shared" si="40"/>
        <v>0</v>
      </c>
      <c r="BK117" s="67">
        <f t="shared" si="40"/>
        <v>0</v>
      </c>
      <c r="BL117" s="67">
        <f t="shared" si="40"/>
        <v>0</v>
      </c>
      <c r="BM117" s="67">
        <f t="shared" si="40"/>
        <v>0</v>
      </c>
      <c r="BN117" s="67">
        <f t="shared" si="40"/>
        <v>0</v>
      </c>
      <c r="BO117" s="67">
        <f t="shared" si="40"/>
        <v>0</v>
      </c>
      <c r="BP117" s="67">
        <f t="shared" si="40"/>
        <v>0</v>
      </c>
      <c r="BQ117" s="67">
        <f t="shared" si="40"/>
        <v>0</v>
      </c>
      <c r="BR117" s="67">
        <f t="shared" si="40"/>
        <v>0</v>
      </c>
      <c r="BS117" s="67">
        <f t="shared" si="40"/>
        <v>0</v>
      </c>
      <c r="BT117" s="67">
        <f t="shared" si="40"/>
        <v>0</v>
      </c>
      <c r="BU117" s="67">
        <f t="shared" si="40"/>
        <v>0</v>
      </c>
      <c r="BV117" s="67">
        <f t="shared" si="40"/>
        <v>0</v>
      </c>
      <c r="BW117" s="67">
        <f t="shared" si="40"/>
        <v>0</v>
      </c>
      <c r="BX117" s="67">
        <f aca="true" t="shared" si="41" ref="BX117:DF117">IF(BX112&lt;=$B$116,$F$116,0)</f>
        <v>0</v>
      </c>
      <c r="BY117" s="67">
        <f t="shared" si="41"/>
        <v>0</v>
      </c>
      <c r="BZ117" s="67">
        <f t="shared" si="41"/>
        <v>0</v>
      </c>
      <c r="CA117" s="67">
        <f t="shared" si="41"/>
        <v>0</v>
      </c>
      <c r="CB117" s="67">
        <f t="shared" si="41"/>
        <v>0</v>
      </c>
      <c r="CC117" s="67">
        <f t="shared" si="41"/>
        <v>0</v>
      </c>
      <c r="CD117" s="67">
        <f t="shared" si="41"/>
        <v>0</v>
      </c>
      <c r="CE117" s="67">
        <f t="shared" si="41"/>
        <v>0</v>
      </c>
      <c r="CF117" s="67">
        <f t="shared" si="41"/>
        <v>0</v>
      </c>
      <c r="CG117" s="67">
        <f t="shared" si="41"/>
        <v>0</v>
      </c>
      <c r="CH117" s="67">
        <f t="shared" si="41"/>
        <v>0</v>
      </c>
      <c r="CI117" s="67">
        <f t="shared" si="41"/>
        <v>0</v>
      </c>
      <c r="CJ117" s="67">
        <f t="shared" si="41"/>
        <v>0</v>
      </c>
      <c r="CK117" s="67">
        <f t="shared" si="41"/>
        <v>0</v>
      </c>
      <c r="CL117" s="67">
        <f t="shared" si="41"/>
        <v>0</v>
      </c>
      <c r="CM117" s="67">
        <f t="shared" si="41"/>
        <v>0</v>
      </c>
      <c r="CN117" s="67">
        <f t="shared" si="41"/>
        <v>0</v>
      </c>
      <c r="CO117" s="67">
        <f t="shared" si="41"/>
        <v>0</v>
      </c>
      <c r="CP117" s="67">
        <f t="shared" si="41"/>
        <v>0</v>
      </c>
      <c r="CQ117" s="67">
        <f t="shared" si="41"/>
        <v>0</v>
      </c>
      <c r="CR117" s="67">
        <f t="shared" si="41"/>
        <v>0</v>
      </c>
      <c r="CS117" s="67">
        <f t="shared" si="41"/>
        <v>0</v>
      </c>
      <c r="CT117" s="67">
        <f t="shared" si="41"/>
        <v>0</v>
      </c>
      <c r="CU117" s="67">
        <f t="shared" si="41"/>
        <v>0</v>
      </c>
      <c r="CV117" s="67">
        <f t="shared" si="41"/>
        <v>0</v>
      </c>
      <c r="CW117" s="67">
        <f t="shared" si="41"/>
        <v>0</v>
      </c>
      <c r="CX117" s="67">
        <f t="shared" si="41"/>
        <v>0</v>
      </c>
      <c r="CY117" s="67">
        <f t="shared" si="41"/>
        <v>0</v>
      </c>
      <c r="CZ117" s="67">
        <f t="shared" si="41"/>
        <v>0</v>
      </c>
      <c r="DA117" s="67">
        <f t="shared" si="41"/>
        <v>0</v>
      </c>
      <c r="DB117" s="67">
        <f t="shared" si="41"/>
        <v>0</v>
      </c>
      <c r="DC117" s="67">
        <f t="shared" si="41"/>
        <v>0</v>
      </c>
      <c r="DD117" s="67">
        <f t="shared" si="41"/>
        <v>0</v>
      </c>
      <c r="DE117" s="67">
        <f t="shared" si="41"/>
        <v>0</v>
      </c>
      <c r="DF117" s="67">
        <f t="shared" si="41"/>
        <v>0</v>
      </c>
    </row>
    <row r="118" spans="1:110" ht="18" customHeight="1">
      <c r="A118" s="70" t="s">
        <v>98</v>
      </c>
      <c r="B118" s="70"/>
      <c r="C118" s="65"/>
      <c r="D118" s="65"/>
      <c r="E118" s="152"/>
      <c r="F118" s="153">
        <f>SUM(F113:F117)</f>
        <v>0</v>
      </c>
      <c r="G118" s="241">
        <f>SUM(G113:G117)</f>
        <v>0</v>
      </c>
      <c r="H118" s="154"/>
      <c r="J118" s="11" t="s">
        <v>286</v>
      </c>
      <c r="K118" s="67">
        <f>F117</f>
        <v>0</v>
      </c>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row>
    <row r="119" spans="1:110" ht="18" customHeight="1">
      <c r="A119" s="155"/>
      <c r="B119" s="10"/>
      <c r="C119" s="10"/>
      <c r="D119" s="10"/>
      <c r="E119" s="156"/>
      <c r="F119" s="157"/>
      <c r="G119" s="244"/>
      <c r="H119" s="151"/>
      <c r="J119" s="11" t="s">
        <v>281</v>
      </c>
      <c r="K119" s="67">
        <f>F124</f>
        <v>2368</v>
      </c>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row>
    <row r="120" spans="1:110" ht="21.75" customHeight="1">
      <c r="A120" s="65" t="s">
        <v>31</v>
      </c>
      <c r="B120" s="65"/>
      <c r="C120" s="11"/>
      <c r="D120" s="11"/>
      <c r="E120" s="63"/>
      <c r="F120" s="150"/>
      <c r="G120" s="243"/>
      <c r="H120" s="151" t="s">
        <v>84</v>
      </c>
      <c r="J120" s="11" t="s">
        <v>335</v>
      </c>
      <c r="K120" s="67">
        <v>0</v>
      </c>
      <c r="L120" s="150">
        <f>F127</f>
        <v>350</v>
      </c>
      <c r="M120" s="150">
        <f>F127</f>
        <v>350</v>
      </c>
      <c r="N120" s="150">
        <f>F127</f>
        <v>350</v>
      </c>
      <c r="O120" s="150">
        <f>F127</f>
        <v>350</v>
      </c>
      <c r="P120" s="150">
        <f>F127</f>
        <v>350</v>
      </c>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row>
    <row r="121" spans="1:110" ht="42" customHeight="1">
      <c r="A121" s="13" t="s">
        <v>38</v>
      </c>
      <c r="B121" s="13">
        <v>1</v>
      </c>
      <c r="C121" s="11" t="s">
        <v>64</v>
      </c>
      <c r="D121" s="69">
        <f>Prices!C40</f>
        <v>850</v>
      </c>
      <c r="E121" s="63">
        <v>1</v>
      </c>
      <c r="F121" s="150">
        <f>E121*D121</f>
        <v>850</v>
      </c>
      <c r="G121" s="243">
        <f>E121*D121</f>
        <v>850</v>
      </c>
      <c r="H121" s="214" t="s">
        <v>179</v>
      </c>
      <c r="J121" s="11" t="s">
        <v>336</v>
      </c>
      <c r="K121" s="11">
        <v>0</v>
      </c>
      <c r="L121" s="67">
        <f>F128</f>
        <v>95</v>
      </c>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row>
    <row r="122" spans="1:110" ht="68.25" customHeight="1">
      <c r="A122" s="11" t="s">
        <v>33</v>
      </c>
      <c r="B122" s="11">
        <v>1</v>
      </c>
      <c r="C122" s="11" t="s">
        <v>64</v>
      </c>
      <c r="D122" s="69">
        <f>Prices!C37</f>
        <v>950</v>
      </c>
      <c r="E122" s="63">
        <v>1</v>
      </c>
      <c r="F122" s="150">
        <f>E122*D122</f>
        <v>950</v>
      </c>
      <c r="G122" s="243">
        <f>E122*D122</f>
        <v>950</v>
      </c>
      <c r="H122" s="214" t="s">
        <v>180</v>
      </c>
      <c r="J122" s="204" t="s">
        <v>280</v>
      </c>
      <c r="K122" s="33">
        <f aca="true" t="shared" si="42" ref="K122:Q122">SUM(K114:K118)-SUM(K119:K121)</f>
        <v>-2368</v>
      </c>
      <c r="L122" s="33">
        <f t="shared" si="42"/>
        <v>-445</v>
      </c>
      <c r="M122" s="33">
        <f t="shared" si="42"/>
        <v>-350</v>
      </c>
      <c r="N122" s="33">
        <f t="shared" si="42"/>
        <v>-350</v>
      </c>
      <c r="O122" s="33">
        <f t="shared" si="42"/>
        <v>-350</v>
      </c>
      <c r="P122" s="33">
        <f t="shared" si="42"/>
        <v>-350</v>
      </c>
      <c r="Q122" s="33">
        <f t="shared" si="42"/>
        <v>0</v>
      </c>
      <c r="R122" s="33">
        <f aca="true" t="shared" si="43" ref="R122:Y122">SUM(R114:R118)-SUM(R119:R121)</f>
        <v>0</v>
      </c>
      <c r="S122" s="33">
        <f t="shared" si="43"/>
        <v>0</v>
      </c>
      <c r="T122" s="33">
        <f t="shared" si="43"/>
        <v>0</v>
      </c>
      <c r="U122" s="33">
        <f t="shared" si="43"/>
        <v>0</v>
      </c>
      <c r="V122" s="33">
        <f t="shared" si="43"/>
        <v>0</v>
      </c>
      <c r="W122" s="33">
        <f t="shared" si="43"/>
        <v>0</v>
      </c>
      <c r="X122" s="33">
        <f t="shared" si="43"/>
        <v>0</v>
      </c>
      <c r="Y122" s="33">
        <f t="shared" si="43"/>
        <v>0</v>
      </c>
      <c r="Z122" s="33">
        <f aca="true" t="shared" si="44" ref="Z122:BE122">SUM(Z114:Z118)-SUM(Z119:Z121)</f>
        <v>0</v>
      </c>
      <c r="AA122" s="33">
        <f t="shared" si="44"/>
        <v>0</v>
      </c>
      <c r="AB122" s="33">
        <f t="shared" si="44"/>
        <v>0</v>
      </c>
      <c r="AC122" s="33">
        <f t="shared" si="44"/>
        <v>0</v>
      </c>
      <c r="AD122" s="33">
        <f t="shared" si="44"/>
        <v>0</v>
      </c>
      <c r="AE122" s="33">
        <f t="shared" si="44"/>
        <v>0</v>
      </c>
      <c r="AF122" s="33">
        <f t="shared" si="44"/>
        <v>0</v>
      </c>
      <c r="AG122" s="33">
        <f t="shared" si="44"/>
        <v>0</v>
      </c>
      <c r="AH122" s="33">
        <f t="shared" si="44"/>
        <v>0</v>
      </c>
      <c r="AI122" s="33">
        <f t="shared" si="44"/>
        <v>0</v>
      </c>
      <c r="AJ122" s="33">
        <f t="shared" si="44"/>
        <v>0</v>
      </c>
      <c r="AK122" s="33">
        <f t="shared" si="44"/>
        <v>0</v>
      </c>
      <c r="AL122" s="33">
        <f t="shared" si="44"/>
        <v>0</v>
      </c>
      <c r="AM122" s="33">
        <f t="shared" si="44"/>
        <v>0</v>
      </c>
      <c r="AN122" s="33">
        <f t="shared" si="44"/>
        <v>0</v>
      </c>
      <c r="AO122" s="33">
        <f t="shared" si="44"/>
        <v>0</v>
      </c>
      <c r="AP122" s="33">
        <f t="shared" si="44"/>
        <v>0</v>
      </c>
      <c r="AQ122" s="33">
        <f t="shared" si="44"/>
        <v>0</v>
      </c>
      <c r="AR122" s="33">
        <f t="shared" si="44"/>
        <v>0</v>
      </c>
      <c r="AS122" s="33">
        <f t="shared" si="44"/>
        <v>0</v>
      </c>
      <c r="AT122" s="33">
        <f t="shared" si="44"/>
        <v>0</v>
      </c>
      <c r="AU122" s="33">
        <f t="shared" si="44"/>
        <v>0</v>
      </c>
      <c r="AV122" s="33">
        <f t="shared" si="44"/>
        <v>0</v>
      </c>
      <c r="AW122" s="33">
        <f t="shared" si="44"/>
        <v>0</v>
      </c>
      <c r="AX122" s="33">
        <f t="shared" si="44"/>
        <v>0</v>
      </c>
      <c r="AY122" s="33">
        <f t="shared" si="44"/>
        <v>0</v>
      </c>
      <c r="AZ122" s="33">
        <f t="shared" si="44"/>
        <v>0</v>
      </c>
      <c r="BA122" s="33">
        <f t="shared" si="44"/>
        <v>0</v>
      </c>
      <c r="BB122" s="33">
        <f t="shared" si="44"/>
        <v>0</v>
      </c>
      <c r="BC122" s="33">
        <f t="shared" si="44"/>
        <v>0</v>
      </c>
      <c r="BD122" s="33">
        <f t="shared" si="44"/>
        <v>0</v>
      </c>
      <c r="BE122" s="33">
        <f t="shared" si="44"/>
        <v>0</v>
      </c>
      <c r="BF122" s="33">
        <f aca="true" t="shared" si="45" ref="BF122:CK122">SUM(BF114:BF118)-SUM(BF119:BF121)</f>
        <v>0</v>
      </c>
      <c r="BG122" s="33">
        <f t="shared" si="45"/>
        <v>0</v>
      </c>
      <c r="BH122" s="33">
        <f t="shared" si="45"/>
        <v>0</v>
      </c>
      <c r="BI122" s="33">
        <f t="shared" si="45"/>
        <v>0</v>
      </c>
      <c r="BJ122" s="33">
        <f t="shared" si="45"/>
        <v>0</v>
      </c>
      <c r="BK122" s="33">
        <f t="shared" si="45"/>
        <v>0</v>
      </c>
      <c r="BL122" s="33">
        <f t="shared" si="45"/>
        <v>0</v>
      </c>
      <c r="BM122" s="33">
        <f t="shared" si="45"/>
        <v>0</v>
      </c>
      <c r="BN122" s="33">
        <f t="shared" si="45"/>
        <v>0</v>
      </c>
      <c r="BO122" s="33">
        <f t="shared" si="45"/>
        <v>0</v>
      </c>
      <c r="BP122" s="33">
        <f t="shared" si="45"/>
        <v>0</v>
      </c>
      <c r="BQ122" s="33">
        <f t="shared" si="45"/>
        <v>0</v>
      </c>
      <c r="BR122" s="33">
        <f t="shared" si="45"/>
        <v>0</v>
      </c>
      <c r="BS122" s="33">
        <f t="shared" si="45"/>
        <v>0</v>
      </c>
      <c r="BT122" s="33">
        <f t="shared" si="45"/>
        <v>0</v>
      </c>
      <c r="BU122" s="33">
        <f t="shared" si="45"/>
        <v>0</v>
      </c>
      <c r="BV122" s="33">
        <f t="shared" si="45"/>
        <v>0</v>
      </c>
      <c r="BW122" s="33">
        <f t="shared" si="45"/>
        <v>0</v>
      </c>
      <c r="BX122" s="33">
        <f t="shared" si="45"/>
        <v>0</v>
      </c>
      <c r="BY122" s="33">
        <f t="shared" si="45"/>
        <v>0</v>
      </c>
      <c r="BZ122" s="33">
        <f t="shared" si="45"/>
        <v>0</v>
      </c>
      <c r="CA122" s="33">
        <f t="shared" si="45"/>
        <v>0</v>
      </c>
      <c r="CB122" s="33">
        <f t="shared" si="45"/>
        <v>0</v>
      </c>
      <c r="CC122" s="33">
        <f t="shared" si="45"/>
        <v>0</v>
      </c>
      <c r="CD122" s="33">
        <f t="shared" si="45"/>
        <v>0</v>
      </c>
      <c r="CE122" s="33">
        <f t="shared" si="45"/>
        <v>0</v>
      </c>
      <c r="CF122" s="33">
        <f t="shared" si="45"/>
        <v>0</v>
      </c>
      <c r="CG122" s="33">
        <f t="shared" si="45"/>
        <v>0</v>
      </c>
      <c r="CH122" s="33">
        <f t="shared" si="45"/>
        <v>0</v>
      </c>
      <c r="CI122" s="33">
        <f t="shared" si="45"/>
        <v>0</v>
      </c>
      <c r="CJ122" s="33">
        <f t="shared" si="45"/>
        <v>0</v>
      </c>
      <c r="CK122" s="33">
        <f t="shared" si="45"/>
        <v>0</v>
      </c>
      <c r="CL122" s="33">
        <f aca="true" t="shared" si="46" ref="CL122:DF122">SUM(CL114:CL118)-SUM(CL119:CL121)</f>
        <v>0</v>
      </c>
      <c r="CM122" s="33">
        <f t="shared" si="46"/>
        <v>0</v>
      </c>
      <c r="CN122" s="33">
        <f t="shared" si="46"/>
        <v>0</v>
      </c>
      <c r="CO122" s="33">
        <f t="shared" si="46"/>
        <v>0</v>
      </c>
      <c r="CP122" s="33">
        <f t="shared" si="46"/>
        <v>0</v>
      </c>
      <c r="CQ122" s="33">
        <f t="shared" si="46"/>
        <v>0</v>
      </c>
      <c r="CR122" s="33">
        <f t="shared" si="46"/>
        <v>0</v>
      </c>
      <c r="CS122" s="33">
        <f t="shared" si="46"/>
        <v>0</v>
      </c>
      <c r="CT122" s="33">
        <f t="shared" si="46"/>
        <v>0</v>
      </c>
      <c r="CU122" s="33">
        <f t="shared" si="46"/>
        <v>0</v>
      </c>
      <c r="CV122" s="33">
        <f t="shared" si="46"/>
        <v>0</v>
      </c>
      <c r="CW122" s="33">
        <f t="shared" si="46"/>
        <v>0</v>
      </c>
      <c r="CX122" s="33">
        <f t="shared" si="46"/>
        <v>0</v>
      </c>
      <c r="CY122" s="33">
        <f t="shared" si="46"/>
        <v>0</v>
      </c>
      <c r="CZ122" s="33">
        <f t="shared" si="46"/>
        <v>0</v>
      </c>
      <c r="DA122" s="33">
        <f t="shared" si="46"/>
        <v>0</v>
      </c>
      <c r="DB122" s="33">
        <f t="shared" si="46"/>
        <v>0</v>
      </c>
      <c r="DC122" s="33">
        <f t="shared" si="46"/>
        <v>0</v>
      </c>
      <c r="DD122" s="33">
        <f t="shared" si="46"/>
        <v>0</v>
      </c>
      <c r="DE122" s="33">
        <f t="shared" si="46"/>
        <v>0</v>
      </c>
      <c r="DF122" s="33">
        <f t="shared" si="46"/>
        <v>0</v>
      </c>
    </row>
    <row r="123" spans="1:110" ht="56.25" customHeight="1">
      <c r="A123" s="11" t="s">
        <v>78</v>
      </c>
      <c r="B123" s="11">
        <v>1</v>
      </c>
      <c r="C123" s="11" t="s">
        <v>64</v>
      </c>
      <c r="D123" s="69">
        <f>Prices!C38</f>
        <v>568</v>
      </c>
      <c r="E123" s="63">
        <v>1</v>
      </c>
      <c r="F123" s="150">
        <f>E123*D123</f>
        <v>568</v>
      </c>
      <c r="G123" s="243">
        <f>E123*D123</f>
        <v>568</v>
      </c>
      <c r="H123" s="214" t="s">
        <v>332</v>
      </c>
      <c r="J123" t="s">
        <v>289</v>
      </c>
      <c r="K123" s="188"/>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row>
    <row r="124" spans="1:16" ht="18" customHeight="1">
      <c r="A124" s="65" t="s">
        <v>182</v>
      </c>
      <c r="B124" s="11"/>
      <c r="C124" s="11"/>
      <c r="D124" s="69"/>
      <c r="E124" s="63"/>
      <c r="F124" s="153">
        <f>SUM(F121:F123)</f>
        <v>2368</v>
      </c>
      <c r="G124" s="241">
        <f>SUM(G121:G123)</f>
        <v>2368</v>
      </c>
      <c r="H124" s="151"/>
      <c r="P124" s="188"/>
    </row>
    <row r="125" spans="1:17" ht="18" customHeight="1">
      <c r="A125" s="77"/>
      <c r="B125" s="12"/>
      <c r="C125" s="12"/>
      <c r="D125" s="158"/>
      <c r="E125" s="159"/>
      <c r="F125" s="159"/>
      <c r="G125" s="245"/>
      <c r="H125" s="151"/>
      <c r="N125" s="17" t="s">
        <v>422</v>
      </c>
      <c r="O125" s="6"/>
      <c r="P125" s="6"/>
      <c r="Q125" s="255"/>
    </row>
    <row r="126" spans="1:15" ht="18" customHeight="1">
      <c r="A126" s="65" t="s">
        <v>39</v>
      </c>
      <c r="B126" s="65"/>
      <c r="C126" s="11"/>
      <c r="D126" s="11"/>
      <c r="E126" s="63"/>
      <c r="F126" s="67"/>
      <c r="G126" s="237"/>
      <c r="H126" s="151"/>
      <c r="J126" s="32"/>
      <c r="K126" s="188"/>
      <c r="N126" s="222">
        <f>K114</f>
        <v>0</v>
      </c>
      <c r="O126" s="216" t="s">
        <v>43</v>
      </c>
    </row>
    <row r="127" spans="1:25" ht="38.25">
      <c r="A127" s="11" t="s">
        <v>204</v>
      </c>
      <c r="B127" s="11">
        <v>5</v>
      </c>
      <c r="C127" s="11" t="s">
        <v>64</v>
      </c>
      <c r="D127" s="69">
        <f>Prices!C42</f>
        <v>350</v>
      </c>
      <c r="E127" s="63">
        <v>1</v>
      </c>
      <c r="F127" s="150">
        <f>E127*D127</f>
        <v>350</v>
      </c>
      <c r="G127" s="243">
        <f>(-PV('Farm &amp; Buffer Assumptions'!C74,B127,F127))</f>
        <v>1558.137815855674</v>
      </c>
      <c r="H127" s="151" t="s">
        <v>183</v>
      </c>
      <c r="J127" s="29" t="s">
        <v>291</v>
      </c>
      <c r="K127" s="153">
        <f>NPV('Farm &amp; Buffer Assumptions'!C74,K122:AD122)</f>
        <v>-3862.965355482524</v>
      </c>
      <c r="N127" s="223">
        <f>NPV('Farm &amp; Buffer Assumptions'!C74,K115:P115)</f>
        <v>0</v>
      </c>
      <c r="O127" s="10" t="s">
        <v>338</v>
      </c>
      <c r="P127" s="1"/>
      <c r="Q127" s="1"/>
      <c r="R127" s="1"/>
      <c r="S127" s="1"/>
      <c r="T127" s="1"/>
      <c r="U127" s="1"/>
      <c r="V127" s="1"/>
      <c r="W127" s="1"/>
      <c r="X127" s="1"/>
      <c r="Y127" s="1"/>
    </row>
    <row r="128" spans="1:15" ht="18" customHeight="1">
      <c r="A128" s="11" t="s">
        <v>329</v>
      </c>
      <c r="B128" s="11">
        <v>2</v>
      </c>
      <c r="C128" s="11" t="s">
        <v>64</v>
      </c>
      <c r="D128" s="69">
        <f>D122</f>
        <v>950</v>
      </c>
      <c r="E128" s="63">
        <v>0.1</v>
      </c>
      <c r="F128" s="150">
        <f>E128*D128</f>
        <v>95</v>
      </c>
      <c r="G128" s="243">
        <f>(F128/(1+'Farm &amp; Buffer Assumptions'!C74)^2)</f>
        <v>87.83284023668638</v>
      </c>
      <c r="H128" s="151" t="s">
        <v>184</v>
      </c>
      <c r="J128" s="29" t="s">
        <v>292</v>
      </c>
      <c r="K128" s="153">
        <f>NPV('Farm &amp; Buffer Assumptions'!C74,K122:AN122)</f>
        <v>-3862.965355482524</v>
      </c>
      <c r="N128" s="223">
        <f>NPV('Farm &amp; Buffer Assumptions'!C74,K116:L116)</f>
        <v>0</v>
      </c>
      <c r="O128" s="216" t="s">
        <v>328</v>
      </c>
    </row>
    <row r="129" spans="1:15" ht="18" customHeight="1">
      <c r="A129" s="65" t="s">
        <v>185</v>
      </c>
      <c r="B129" s="11"/>
      <c r="C129" s="11"/>
      <c r="D129" s="69"/>
      <c r="E129" s="63"/>
      <c r="F129" s="153">
        <f>SUM(F127:F128)</f>
        <v>445</v>
      </c>
      <c r="G129" s="241">
        <f>SUM(G127:G128)</f>
        <v>1645.9706560923605</v>
      </c>
      <c r="H129" s="151"/>
      <c r="J129" s="29" t="s">
        <v>293</v>
      </c>
      <c r="K129" s="153">
        <f>NPV('Farm &amp; Buffer Assumptions'!C74,K122:AX122)</f>
        <v>-3862.965355482524</v>
      </c>
      <c r="L129" s="1"/>
      <c r="M129" s="1"/>
      <c r="N129" s="224">
        <f>NPV('Farm &amp; Buffer Assumptions'!C74,K117:Y117)</f>
        <v>0</v>
      </c>
      <c r="O129" s="216" t="s">
        <v>234</v>
      </c>
    </row>
    <row r="130" spans="1:15" ht="18" customHeight="1">
      <c r="A130" s="77"/>
      <c r="B130" s="12"/>
      <c r="C130" s="12"/>
      <c r="D130" s="158"/>
      <c r="E130" s="159"/>
      <c r="F130" s="160"/>
      <c r="G130" s="246"/>
      <c r="H130" s="151"/>
      <c r="J130" s="29" t="s">
        <v>294</v>
      </c>
      <c r="K130" s="153">
        <f>NPV('Farm &amp; Buffer Assumptions'!C74,K122:BH122)</f>
        <v>-3862.965355482524</v>
      </c>
      <c r="N130" s="223">
        <f>K118</f>
        <v>0</v>
      </c>
      <c r="O130" s="216" t="s">
        <v>86</v>
      </c>
    </row>
    <row r="131" spans="1:15" ht="18" customHeight="1">
      <c r="A131" s="70" t="s">
        <v>186</v>
      </c>
      <c r="B131" s="70"/>
      <c r="C131" s="70"/>
      <c r="D131" s="72"/>
      <c r="E131" s="73"/>
      <c r="F131" s="161">
        <f>F124+F129</f>
        <v>2813</v>
      </c>
      <c r="G131" s="247">
        <f>G124+G129</f>
        <v>4013.9706560923605</v>
      </c>
      <c r="H131" s="162"/>
      <c r="J131" s="29" t="s">
        <v>295</v>
      </c>
      <c r="K131" s="153">
        <f>NPV('Farm &amp; Buffer Assumptions'!C74,K122:BR122)</f>
        <v>-3862.965355482524</v>
      </c>
      <c r="N131" s="225">
        <f>K119</f>
        <v>2368</v>
      </c>
      <c r="O131" s="193" t="s">
        <v>343</v>
      </c>
    </row>
    <row r="132" spans="1:15" ht="18" customHeight="1">
      <c r="A132" s="77"/>
      <c r="B132" s="12"/>
      <c r="C132" s="12"/>
      <c r="D132" s="12"/>
      <c r="E132" s="159"/>
      <c r="F132" s="76"/>
      <c r="G132" s="245"/>
      <c r="H132" s="34"/>
      <c r="J132" s="29" t="s">
        <v>296</v>
      </c>
      <c r="K132" s="153">
        <f>NPV('Farm &amp; Buffer Assumptions'!C74,K122:CB122)</f>
        <v>-3862.965355482524</v>
      </c>
      <c r="N132" s="223">
        <f>NPV('Farm &amp; Buffer Assumptions'!C74,K120:P120)</f>
        <v>1498.2094383227613</v>
      </c>
      <c r="O132" t="s">
        <v>339</v>
      </c>
    </row>
    <row r="133" spans="1:15" ht="18" customHeight="1">
      <c r="A133" s="692" t="s">
        <v>312</v>
      </c>
      <c r="B133" s="692"/>
      <c r="C133" s="692"/>
      <c r="D133" s="692"/>
      <c r="E133" s="693"/>
      <c r="F133" s="694"/>
      <c r="G133" s="694">
        <f>G118-G131</f>
        <v>-4013.9706560923605</v>
      </c>
      <c r="H133" s="695"/>
      <c r="J133" s="29" t="s">
        <v>297</v>
      </c>
      <c r="K133" s="153">
        <f>NPV('Farm &amp; Buffer Assumptions'!C74,K122:CL122)</f>
        <v>-3862.965355482524</v>
      </c>
      <c r="N133" s="223">
        <f>NPV('Farm &amp; Buffer Assumptions'!C74,K121:L121)</f>
        <v>87.83284023668638</v>
      </c>
      <c r="O133" t="s">
        <v>337</v>
      </c>
    </row>
    <row r="134" spans="1:14" ht="53.25" customHeight="1">
      <c r="A134" s="756" t="s">
        <v>319</v>
      </c>
      <c r="B134" s="757"/>
      <c r="C134" s="757"/>
      <c r="D134" s="757"/>
      <c r="E134" s="757"/>
      <c r="F134" s="757"/>
      <c r="G134" s="757"/>
      <c r="H134" s="757"/>
      <c r="J134" s="29" t="s">
        <v>298</v>
      </c>
      <c r="K134" s="153">
        <f>NPV('Farm &amp; Buffer Assumptions'!C74,K122:CV122)</f>
        <v>-3862.965355482524</v>
      </c>
      <c r="N134" s="189"/>
    </row>
    <row r="135" spans="1:15" ht="27" customHeight="1">
      <c r="A135" s="759" t="s">
        <v>341</v>
      </c>
      <c r="B135" s="752"/>
      <c r="C135" s="752"/>
      <c r="D135" s="752"/>
      <c r="E135" s="752"/>
      <c r="F135" s="752"/>
      <c r="G135" s="752"/>
      <c r="H135" s="752"/>
      <c r="J135" s="29" t="s">
        <v>299</v>
      </c>
      <c r="K135" s="153">
        <f>NPV('Farm &amp; Buffer Assumptions'!C74,K122:DF122)</f>
        <v>-3862.965355482524</v>
      </c>
      <c r="N135" s="277">
        <f>SUM(N126:N130)-SUM(N131:N133)</f>
        <v>-3954.042278559448</v>
      </c>
      <c r="O135" t="s">
        <v>346</v>
      </c>
    </row>
    <row r="136" spans="1:110" s="32" customFormat="1" ht="21.75" customHeight="1">
      <c r="A136" s="758" t="s">
        <v>188</v>
      </c>
      <c r="B136" s="752"/>
      <c r="C136" s="752"/>
      <c r="D136" s="752"/>
      <c r="E136" s="752"/>
      <c r="F136" s="752"/>
      <c r="G136" s="752"/>
      <c r="H136" s="752"/>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row>
    <row r="137" spans="1:8" ht="24" customHeight="1">
      <c r="A137" s="752" t="s">
        <v>189</v>
      </c>
      <c r="B137" s="752"/>
      <c r="C137" s="752"/>
      <c r="D137" s="752"/>
      <c r="E137" s="752"/>
      <c r="F137" s="752"/>
      <c r="G137" s="752"/>
      <c r="H137" s="752"/>
    </row>
    <row r="138" spans="1:110" ht="25.5" customHeight="1">
      <c r="A138" s="752" t="s">
        <v>190</v>
      </c>
      <c r="B138" s="752"/>
      <c r="C138" s="752"/>
      <c r="D138" s="752"/>
      <c r="E138" s="752"/>
      <c r="F138" s="752"/>
      <c r="G138" s="752"/>
      <c r="H138" s="75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row>
    <row r="139" ht="19.5" customHeight="1" thickBot="1"/>
    <row r="140" spans="1:11" ht="57" thickBot="1">
      <c r="A140" s="477" t="s">
        <v>353</v>
      </c>
      <c r="B140" s="474" t="s">
        <v>176</v>
      </c>
      <c r="C140" s="475" t="s">
        <v>0</v>
      </c>
      <c r="D140" s="476" t="s">
        <v>11</v>
      </c>
      <c r="E140" s="478" t="s">
        <v>22</v>
      </c>
      <c r="F140" s="476" t="s">
        <v>18</v>
      </c>
      <c r="G140" s="478" t="s">
        <v>177</v>
      </c>
      <c r="H140" s="475" t="s">
        <v>178</v>
      </c>
      <c r="K140" t="s">
        <v>290</v>
      </c>
    </row>
    <row r="141" spans="1:110" ht="21" customHeight="1">
      <c r="A141" s="680" t="s">
        <v>42</v>
      </c>
      <c r="B141" s="681"/>
      <c r="C141" s="646"/>
      <c r="D141" s="647"/>
      <c r="E141" s="682"/>
      <c r="F141" s="647"/>
      <c r="G141" s="682"/>
      <c r="H141" s="683"/>
      <c r="J141" s="273" t="s">
        <v>278</v>
      </c>
      <c r="K141" s="274">
        <v>1</v>
      </c>
      <c r="L141" s="274">
        <v>2</v>
      </c>
      <c r="M141" s="274">
        <v>3</v>
      </c>
      <c r="N141" s="274">
        <v>4</v>
      </c>
      <c r="O141" s="274">
        <v>5</v>
      </c>
      <c r="P141" s="274">
        <v>6</v>
      </c>
      <c r="Q141" s="274">
        <v>7</v>
      </c>
      <c r="R141" s="274">
        <v>8</v>
      </c>
      <c r="S141" s="274">
        <v>9</v>
      </c>
      <c r="T141" s="274">
        <v>10</v>
      </c>
      <c r="U141" s="274">
        <v>11</v>
      </c>
      <c r="V141" s="274">
        <v>12</v>
      </c>
      <c r="W141" s="274">
        <v>13</v>
      </c>
      <c r="X141" s="274">
        <v>14</v>
      </c>
      <c r="Y141" s="274">
        <v>15</v>
      </c>
      <c r="Z141" s="274">
        <v>16</v>
      </c>
      <c r="AA141" s="274">
        <v>17</v>
      </c>
      <c r="AB141" s="274">
        <v>18</v>
      </c>
      <c r="AC141" s="274">
        <v>19</v>
      </c>
      <c r="AD141" s="274">
        <v>20</v>
      </c>
      <c r="AE141" s="274">
        <v>21</v>
      </c>
      <c r="AF141" s="274">
        <v>22</v>
      </c>
      <c r="AG141" s="274">
        <v>23</v>
      </c>
      <c r="AH141" s="274">
        <v>24</v>
      </c>
      <c r="AI141" s="274">
        <v>25</v>
      </c>
      <c r="AJ141" s="274">
        <v>26</v>
      </c>
      <c r="AK141" s="274">
        <v>27</v>
      </c>
      <c r="AL141" s="274">
        <v>28</v>
      </c>
      <c r="AM141" s="274">
        <v>29</v>
      </c>
      <c r="AN141" s="274">
        <v>30</v>
      </c>
      <c r="AO141" s="274">
        <v>31</v>
      </c>
      <c r="AP141" s="274">
        <v>32</v>
      </c>
      <c r="AQ141" s="274">
        <v>33</v>
      </c>
      <c r="AR141" s="274">
        <v>34</v>
      </c>
      <c r="AS141" s="274">
        <v>35</v>
      </c>
      <c r="AT141" s="274">
        <v>36</v>
      </c>
      <c r="AU141" s="274">
        <v>37</v>
      </c>
      <c r="AV141" s="274">
        <v>38</v>
      </c>
      <c r="AW141" s="274">
        <v>39</v>
      </c>
      <c r="AX141" s="274">
        <v>40</v>
      </c>
      <c r="AY141" s="274">
        <v>41</v>
      </c>
      <c r="AZ141" s="274">
        <v>42</v>
      </c>
      <c r="BA141" s="274">
        <v>43</v>
      </c>
      <c r="BB141" s="274">
        <v>44</v>
      </c>
      <c r="BC141" s="274">
        <v>45</v>
      </c>
      <c r="BD141" s="274">
        <v>46</v>
      </c>
      <c r="BE141" s="274">
        <v>47</v>
      </c>
      <c r="BF141" s="274">
        <v>48</v>
      </c>
      <c r="BG141" s="274">
        <v>49</v>
      </c>
      <c r="BH141" s="274">
        <v>50</v>
      </c>
      <c r="BI141" s="274">
        <v>51</v>
      </c>
      <c r="BJ141" s="274">
        <v>52</v>
      </c>
      <c r="BK141" s="274">
        <v>53</v>
      </c>
      <c r="BL141" s="274">
        <v>54</v>
      </c>
      <c r="BM141" s="274">
        <v>55</v>
      </c>
      <c r="BN141" s="274">
        <v>56</v>
      </c>
      <c r="BO141" s="274">
        <v>57</v>
      </c>
      <c r="BP141" s="274">
        <v>58</v>
      </c>
      <c r="BQ141" s="274">
        <v>59</v>
      </c>
      <c r="BR141" s="274">
        <v>60</v>
      </c>
      <c r="BS141" s="274">
        <v>61</v>
      </c>
      <c r="BT141" s="274">
        <v>62</v>
      </c>
      <c r="BU141" s="274">
        <v>63</v>
      </c>
      <c r="BV141" s="274">
        <v>64</v>
      </c>
      <c r="BW141" s="274">
        <v>65</v>
      </c>
      <c r="BX141" s="274">
        <v>66</v>
      </c>
      <c r="BY141" s="274">
        <v>67</v>
      </c>
      <c r="BZ141" s="274">
        <v>68</v>
      </c>
      <c r="CA141" s="274">
        <v>69</v>
      </c>
      <c r="CB141" s="274">
        <v>70</v>
      </c>
      <c r="CC141" s="274">
        <v>71</v>
      </c>
      <c r="CD141" s="274">
        <v>72</v>
      </c>
      <c r="CE141" s="274">
        <v>73</v>
      </c>
      <c r="CF141" s="274">
        <v>74</v>
      </c>
      <c r="CG141" s="274">
        <v>75</v>
      </c>
      <c r="CH141" s="274">
        <v>76</v>
      </c>
      <c r="CI141" s="274">
        <v>77</v>
      </c>
      <c r="CJ141" s="274">
        <v>78</v>
      </c>
      <c r="CK141" s="274">
        <v>79</v>
      </c>
      <c r="CL141" s="274">
        <v>80</v>
      </c>
      <c r="CM141" s="274">
        <v>81</v>
      </c>
      <c r="CN141" s="274">
        <v>82</v>
      </c>
      <c r="CO141" s="274">
        <v>83</v>
      </c>
      <c r="CP141" s="274">
        <v>84</v>
      </c>
      <c r="CQ141" s="274">
        <v>85</v>
      </c>
      <c r="CR141" s="274">
        <v>86</v>
      </c>
      <c r="CS141" s="274">
        <v>87</v>
      </c>
      <c r="CT141" s="274">
        <v>88</v>
      </c>
      <c r="CU141" s="274">
        <v>89</v>
      </c>
      <c r="CV141" s="274">
        <v>90</v>
      </c>
      <c r="CW141" s="274">
        <v>91</v>
      </c>
      <c r="CX141" s="274">
        <v>92</v>
      </c>
      <c r="CY141" s="274">
        <v>93</v>
      </c>
      <c r="CZ141" s="274">
        <v>94</v>
      </c>
      <c r="DA141" s="274">
        <v>95</v>
      </c>
      <c r="DB141" s="274">
        <v>96</v>
      </c>
      <c r="DC141" s="274">
        <v>97</v>
      </c>
      <c r="DD141" s="274">
        <v>98</v>
      </c>
      <c r="DE141" s="274">
        <v>99</v>
      </c>
      <c r="DF141" s="274">
        <v>100</v>
      </c>
    </row>
    <row r="142" spans="1:110" ht="18" customHeight="1">
      <c r="A142" s="13" t="s">
        <v>43</v>
      </c>
      <c r="B142" s="11">
        <v>1</v>
      </c>
      <c r="C142" s="11" t="s">
        <v>64</v>
      </c>
      <c r="D142" s="11">
        <f>IF('Farm &amp; Buffer Assumptions'!C124=1,F156*'Farm &amp; Buffer Assumptions'!C92,0)</f>
        <v>0</v>
      </c>
      <c r="E142" s="63">
        <f>IF('Farm &amp; Buffer Assumptions'!$C$80=1,1,0)</f>
        <v>0</v>
      </c>
      <c r="F142" s="67">
        <f aca="true" t="shared" si="47" ref="F142:F147">E142*D142</f>
        <v>0</v>
      </c>
      <c r="G142" s="227">
        <f>F142</f>
        <v>0</v>
      </c>
      <c r="H142" s="13"/>
      <c r="J142" s="65" t="s">
        <v>279</v>
      </c>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row>
    <row r="143" spans="1:110" ht="18" customHeight="1">
      <c r="A143" s="13" t="s">
        <v>723</v>
      </c>
      <c r="B143" s="11">
        <f>'Farm &amp; Buffer Assumptions'!C94</f>
        <v>5</v>
      </c>
      <c r="C143" s="11" t="s">
        <v>64</v>
      </c>
      <c r="D143" s="11">
        <f>IF('Farm &amp; Buffer Assumptions'!C125=1,(F159)*'Farm &amp; Buffer Assumptions'!C93,0)</f>
        <v>0</v>
      </c>
      <c r="E143" s="63">
        <f>IF('Farm &amp; Buffer Assumptions'!$C$80=1,1,0)</f>
        <v>0</v>
      </c>
      <c r="F143" s="67">
        <f t="shared" si="47"/>
        <v>0</v>
      </c>
      <c r="G143" s="227">
        <f>-PV('Farm &amp; Buffer Assumptions'!C74,B143,F143)</f>
        <v>0</v>
      </c>
      <c r="H143" s="13"/>
      <c r="J143" s="11" t="s">
        <v>283</v>
      </c>
      <c r="K143" s="67">
        <f>F142</f>
        <v>0</v>
      </c>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row>
    <row r="144" spans="1:110" ht="18" customHeight="1">
      <c r="A144" s="13" t="s">
        <v>328</v>
      </c>
      <c r="B144" s="11">
        <v>2</v>
      </c>
      <c r="C144" s="11" t="s">
        <v>64</v>
      </c>
      <c r="D144" s="252">
        <f>IF('Farm &amp; Buffer Assumptions'!C125=1,F160*'Farm &amp; Buffer Assumptions'!C93,0)</f>
        <v>0</v>
      </c>
      <c r="E144" s="63">
        <f>IF('Farm &amp; Buffer Assumptions'!$C$80=1,1,0)</f>
        <v>0</v>
      </c>
      <c r="F144" s="67">
        <f>E144*D144</f>
        <v>0</v>
      </c>
      <c r="G144" s="248">
        <f>(-PV('Farm &amp; Buffer Assumptions'!C74,B144,F144))/(1+'Farm &amp; Buffer Assumptions'!C74)</f>
        <v>0</v>
      </c>
      <c r="H144" s="679"/>
      <c r="J144" s="11" t="s">
        <v>386</v>
      </c>
      <c r="K144" s="11">
        <v>0</v>
      </c>
      <c r="L144" s="67">
        <f>IF(L141=($B$143+1),$F$143,IF(L141&lt;=$B$143,$F$143,0))</f>
        <v>0</v>
      </c>
      <c r="M144" s="67">
        <f aca="true" t="shared" si="48" ref="M144:BX144">IF(M141=($B$143+1),$F$143,IF(M141&lt;=$B$143,$F$143,0))</f>
        <v>0</v>
      </c>
      <c r="N144" s="67">
        <f t="shared" si="48"/>
        <v>0</v>
      </c>
      <c r="O144" s="67">
        <f t="shared" si="48"/>
        <v>0</v>
      </c>
      <c r="P144" s="67">
        <f t="shared" si="48"/>
        <v>0</v>
      </c>
      <c r="Q144" s="67">
        <f t="shared" si="48"/>
        <v>0</v>
      </c>
      <c r="R144" s="67">
        <f t="shared" si="48"/>
        <v>0</v>
      </c>
      <c r="S144" s="67">
        <f t="shared" si="48"/>
        <v>0</v>
      </c>
      <c r="T144" s="67">
        <f t="shared" si="48"/>
        <v>0</v>
      </c>
      <c r="U144" s="67">
        <f t="shared" si="48"/>
        <v>0</v>
      </c>
      <c r="V144" s="67">
        <f t="shared" si="48"/>
        <v>0</v>
      </c>
      <c r="W144" s="67">
        <f t="shared" si="48"/>
        <v>0</v>
      </c>
      <c r="X144" s="67">
        <f t="shared" si="48"/>
        <v>0</v>
      </c>
      <c r="Y144" s="67">
        <f t="shared" si="48"/>
        <v>0</v>
      </c>
      <c r="Z144" s="67">
        <f t="shared" si="48"/>
        <v>0</v>
      </c>
      <c r="AA144" s="67">
        <f t="shared" si="48"/>
        <v>0</v>
      </c>
      <c r="AB144" s="67">
        <f t="shared" si="48"/>
        <v>0</v>
      </c>
      <c r="AC144" s="67">
        <f t="shared" si="48"/>
        <v>0</v>
      </c>
      <c r="AD144" s="67">
        <f t="shared" si="48"/>
        <v>0</v>
      </c>
      <c r="AE144" s="67">
        <f t="shared" si="48"/>
        <v>0</v>
      </c>
      <c r="AF144" s="67">
        <f t="shared" si="48"/>
        <v>0</v>
      </c>
      <c r="AG144" s="67">
        <f t="shared" si="48"/>
        <v>0</v>
      </c>
      <c r="AH144" s="67">
        <f t="shared" si="48"/>
        <v>0</v>
      </c>
      <c r="AI144" s="67">
        <f t="shared" si="48"/>
        <v>0</v>
      </c>
      <c r="AJ144" s="67">
        <f t="shared" si="48"/>
        <v>0</v>
      </c>
      <c r="AK144" s="67">
        <f t="shared" si="48"/>
        <v>0</v>
      </c>
      <c r="AL144" s="67">
        <f t="shared" si="48"/>
        <v>0</v>
      </c>
      <c r="AM144" s="67">
        <f t="shared" si="48"/>
        <v>0</v>
      </c>
      <c r="AN144" s="67">
        <f t="shared" si="48"/>
        <v>0</v>
      </c>
      <c r="AO144" s="67">
        <f t="shared" si="48"/>
        <v>0</v>
      </c>
      <c r="AP144" s="67">
        <f t="shared" si="48"/>
        <v>0</v>
      </c>
      <c r="AQ144" s="67">
        <f t="shared" si="48"/>
        <v>0</v>
      </c>
      <c r="AR144" s="67">
        <f t="shared" si="48"/>
        <v>0</v>
      </c>
      <c r="AS144" s="67">
        <f t="shared" si="48"/>
        <v>0</v>
      </c>
      <c r="AT144" s="67">
        <f t="shared" si="48"/>
        <v>0</v>
      </c>
      <c r="AU144" s="67">
        <f t="shared" si="48"/>
        <v>0</v>
      </c>
      <c r="AV144" s="67">
        <f t="shared" si="48"/>
        <v>0</v>
      </c>
      <c r="AW144" s="67">
        <f t="shared" si="48"/>
        <v>0</v>
      </c>
      <c r="AX144" s="67">
        <f t="shared" si="48"/>
        <v>0</v>
      </c>
      <c r="AY144" s="67">
        <f t="shared" si="48"/>
        <v>0</v>
      </c>
      <c r="AZ144" s="67">
        <f t="shared" si="48"/>
        <v>0</v>
      </c>
      <c r="BA144" s="67">
        <f t="shared" si="48"/>
        <v>0</v>
      </c>
      <c r="BB144" s="67">
        <f t="shared" si="48"/>
        <v>0</v>
      </c>
      <c r="BC144" s="67">
        <f t="shared" si="48"/>
        <v>0</v>
      </c>
      <c r="BD144" s="67">
        <f t="shared" si="48"/>
        <v>0</v>
      </c>
      <c r="BE144" s="67">
        <f t="shared" si="48"/>
        <v>0</v>
      </c>
      <c r="BF144" s="67">
        <f t="shared" si="48"/>
        <v>0</v>
      </c>
      <c r="BG144" s="67">
        <f t="shared" si="48"/>
        <v>0</v>
      </c>
      <c r="BH144" s="67">
        <f t="shared" si="48"/>
        <v>0</v>
      </c>
      <c r="BI144" s="67">
        <f t="shared" si="48"/>
        <v>0</v>
      </c>
      <c r="BJ144" s="67">
        <f t="shared" si="48"/>
        <v>0</v>
      </c>
      <c r="BK144" s="67">
        <f t="shared" si="48"/>
        <v>0</v>
      </c>
      <c r="BL144" s="67">
        <f t="shared" si="48"/>
        <v>0</v>
      </c>
      <c r="BM144" s="67">
        <f t="shared" si="48"/>
        <v>0</v>
      </c>
      <c r="BN144" s="67">
        <f t="shared" si="48"/>
        <v>0</v>
      </c>
      <c r="BO144" s="67">
        <f t="shared" si="48"/>
        <v>0</v>
      </c>
      <c r="BP144" s="67">
        <f t="shared" si="48"/>
        <v>0</v>
      </c>
      <c r="BQ144" s="67">
        <f t="shared" si="48"/>
        <v>0</v>
      </c>
      <c r="BR144" s="67">
        <f t="shared" si="48"/>
        <v>0</v>
      </c>
      <c r="BS144" s="67">
        <f t="shared" si="48"/>
        <v>0</v>
      </c>
      <c r="BT144" s="67">
        <f t="shared" si="48"/>
        <v>0</v>
      </c>
      <c r="BU144" s="67">
        <f t="shared" si="48"/>
        <v>0</v>
      </c>
      <c r="BV144" s="67">
        <f t="shared" si="48"/>
        <v>0</v>
      </c>
      <c r="BW144" s="67">
        <f t="shared" si="48"/>
        <v>0</v>
      </c>
      <c r="BX144" s="67">
        <f t="shared" si="48"/>
        <v>0</v>
      </c>
      <c r="BY144" s="67">
        <f aca="true" t="shared" si="49" ref="BY144:DF144">IF(BY141=($B$143+1),$F$143,IF(BY141&lt;=$B$143,$F$143,0))</f>
        <v>0</v>
      </c>
      <c r="BZ144" s="67">
        <f t="shared" si="49"/>
        <v>0</v>
      </c>
      <c r="CA144" s="67">
        <f t="shared" si="49"/>
        <v>0</v>
      </c>
      <c r="CB144" s="67">
        <f t="shared" si="49"/>
        <v>0</v>
      </c>
      <c r="CC144" s="67">
        <f t="shared" si="49"/>
        <v>0</v>
      </c>
      <c r="CD144" s="67">
        <f t="shared" si="49"/>
        <v>0</v>
      </c>
      <c r="CE144" s="67">
        <f t="shared" si="49"/>
        <v>0</v>
      </c>
      <c r="CF144" s="67">
        <f t="shared" si="49"/>
        <v>0</v>
      </c>
      <c r="CG144" s="67">
        <f t="shared" si="49"/>
        <v>0</v>
      </c>
      <c r="CH144" s="67">
        <f t="shared" si="49"/>
        <v>0</v>
      </c>
      <c r="CI144" s="67">
        <f t="shared" si="49"/>
        <v>0</v>
      </c>
      <c r="CJ144" s="67">
        <f t="shared" si="49"/>
        <v>0</v>
      </c>
      <c r="CK144" s="67">
        <f t="shared" si="49"/>
        <v>0</v>
      </c>
      <c r="CL144" s="67">
        <f t="shared" si="49"/>
        <v>0</v>
      </c>
      <c r="CM144" s="67">
        <f t="shared" si="49"/>
        <v>0</v>
      </c>
      <c r="CN144" s="67">
        <f t="shared" si="49"/>
        <v>0</v>
      </c>
      <c r="CO144" s="67">
        <f t="shared" si="49"/>
        <v>0</v>
      </c>
      <c r="CP144" s="67">
        <f t="shared" si="49"/>
        <v>0</v>
      </c>
      <c r="CQ144" s="67">
        <f t="shared" si="49"/>
        <v>0</v>
      </c>
      <c r="CR144" s="67">
        <f t="shared" si="49"/>
        <v>0</v>
      </c>
      <c r="CS144" s="67">
        <f t="shared" si="49"/>
        <v>0</v>
      </c>
      <c r="CT144" s="67">
        <f t="shared" si="49"/>
        <v>0</v>
      </c>
      <c r="CU144" s="67">
        <f t="shared" si="49"/>
        <v>0</v>
      </c>
      <c r="CV144" s="67">
        <f t="shared" si="49"/>
        <v>0</v>
      </c>
      <c r="CW144" s="67">
        <f t="shared" si="49"/>
        <v>0</v>
      </c>
      <c r="CX144" s="67">
        <f t="shared" si="49"/>
        <v>0</v>
      </c>
      <c r="CY144" s="67">
        <f t="shared" si="49"/>
        <v>0</v>
      </c>
      <c r="CZ144" s="67">
        <f t="shared" si="49"/>
        <v>0</v>
      </c>
      <c r="DA144" s="67">
        <f t="shared" si="49"/>
        <v>0</v>
      </c>
      <c r="DB144" s="67">
        <f t="shared" si="49"/>
        <v>0</v>
      </c>
      <c r="DC144" s="67">
        <f t="shared" si="49"/>
        <v>0</v>
      </c>
      <c r="DD144" s="67">
        <f t="shared" si="49"/>
        <v>0</v>
      </c>
      <c r="DE144" s="67">
        <f t="shared" si="49"/>
        <v>0</v>
      </c>
      <c r="DF144" s="67">
        <f t="shared" si="49"/>
        <v>0</v>
      </c>
    </row>
    <row r="145" spans="1:110" ht="18" customHeight="1">
      <c r="A145" s="11" t="s">
        <v>234</v>
      </c>
      <c r="B145" s="11">
        <f>'Farm &amp; Buffer Assumptions'!C89</f>
        <v>15</v>
      </c>
      <c r="C145" s="11" t="s">
        <v>64</v>
      </c>
      <c r="D145" s="11">
        <f>IF('Farm &amp; Buffer Assumptions'!C122=1,Prices!C29*'Farm &amp; Buffer Assumptions'!C90,0)</f>
        <v>0</v>
      </c>
      <c r="E145" s="63">
        <f>IF('Farm &amp; Buffer Assumptions'!$C$80=1,1,0)</f>
        <v>0</v>
      </c>
      <c r="F145" s="67">
        <f t="shared" si="47"/>
        <v>0</v>
      </c>
      <c r="G145" s="227">
        <f>-PV('Farm &amp; Buffer Assumptions'!C74,B145,F145)</f>
        <v>0</v>
      </c>
      <c r="H145" s="13"/>
      <c r="J145" s="11" t="s">
        <v>334</v>
      </c>
      <c r="K145" s="11">
        <v>0</v>
      </c>
      <c r="L145" s="67">
        <f>F144</f>
        <v>0</v>
      </c>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row>
    <row r="146" spans="1:110" ht="18" customHeight="1">
      <c r="A146" s="11" t="s">
        <v>86</v>
      </c>
      <c r="B146" s="11">
        <v>1</v>
      </c>
      <c r="C146" s="11" t="s">
        <v>64</v>
      </c>
      <c r="D146" s="11">
        <f>IF('Farm &amp; Buffer Assumptions'!C123=1,'Farm &amp; Buffer Assumptions'!C91,0)</f>
        <v>0</v>
      </c>
      <c r="E146" s="63">
        <f>IF('Farm &amp; Buffer Assumptions'!$C$80=1,1,0)</f>
        <v>0</v>
      </c>
      <c r="F146" s="67">
        <f t="shared" si="47"/>
        <v>0</v>
      </c>
      <c r="G146" s="227">
        <f>F146</f>
        <v>0</v>
      </c>
      <c r="H146" s="13"/>
      <c r="J146" s="11" t="s">
        <v>285</v>
      </c>
      <c r="K146" s="67">
        <f>IF(K141&lt;=$B$145,$F$145,0)</f>
        <v>0</v>
      </c>
      <c r="L146" s="67">
        <f aca="true" t="shared" si="50" ref="L146:BW146">IF(L141&lt;=$B$145,$F$145,0)</f>
        <v>0</v>
      </c>
      <c r="M146" s="67">
        <f t="shared" si="50"/>
        <v>0</v>
      </c>
      <c r="N146" s="67">
        <f t="shared" si="50"/>
        <v>0</v>
      </c>
      <c r="O146" s="67">
        <f t="shared" si="50"/>
        <v>0</v>
      </c>
      <c r="P146" s="67">
        <f t="shared" si="50"/>
        <v>0</v>
      </c>
      <c r="Q146" s="67">
        <f t="shared" si="50"/>
        <v>0</v>
      </c>
      <c r="R146" s="67">
        <f t="shared" si="50"/>
        <v>0</v>
      </c>
      <c r="S146" s="67">
        <f t="shared" si="50"/>
        <v>0</v>
      </c>
      <c r="T146" s="67">
        <f t="shared" si="50"/>
        <v>0</v>
      </c>
      <c r="U146" s="67">
        <f t="shared" si="50"/>
        <v>0</v>
      </c>
      <c r="V146" s="67">
        <f t="shared" si="50"/>
        <v>0</v>
      </c>
      <c r="W146" s="67">
        <f t="shared" si="50"/>
        <v>0</v>
      </c>
      <c r="X146" s="67">
        <f t="shared" si="50"/>
        <v>0</v>
      </c>
      <c r="Y146" s="67">
        <f t="shared" si="50"/>
        <v>0</v>
      </c>
      <c r="Z146" s="67">
        <f t="shared" si="50"/>
        <v>0</v>
      </c>
      <c r="AA146" s="67">
        <f t="shared" si="50"/>
        <v>0</v>
      </c>
      <c r="AB146" s="67">
        <f t="shared" si="50"/>
        <v>0</v>
      </c>
      <c r="AC146" s="67">
        <f t="shared" si="50"/>
        <v>0</v>
      </c>
      <c r="AD146" s="67">
        <f t="shared" si="50"/>
        <v>0</v>
      </c>
      <c r="AE146" s="67">
        <f t="shared" si="50"/>
        <v>0</v>
      </c>
      <c r="AF146" s="67">
        <f t="shared" si="50"/>
        <v>0</v>
      </c>
      <c r="AG146" s="67">
        <f t="shared" si="50"/>
        <v>0</v>
      </c>
      <c r="AH146" s="67">
        <f t="shared" si="50"/>
        <v>0</v>
      </c>
      <c r="AI146" s="67">
        <f t="shared" si="50"/>
        <v>0</v>
      </c>
      <c r="AJ146" s="67">
        <f t="shared" si="50"/>
        <v>0</v>
      </c>
      <c r="AK146" s="67">
        <f t="shared" si="50"/>
        <v>0</v>
      </c>
      <c r="AL146" s="67">
        <f t="shared" si="50"/>
        <v>0</v>
      </c>
      <c r="AM146" s="67">
        <f t="shared" si="50"/>
        <v>0</v>
      </c>
      <c r="AN146" s="67">
        <f t="shared" si="50"/>
        <v>0</v>
      </c>
      <c r="AO146" s="67">
        <f t="shared" si="50"/>
        <v>0</v>
      </c>
      <c r="AP146" s="67">
        <f t="shared" si="50"/>
        <v>0</v>
      </c>
      <c r="AQ146" s="67">
        <f t="shared" si="50"/>
        <v>0</v>
      </c>
      <c r="AR146" s="67">
        <f t="shared" si="50"/>
        <v>0</v>
      </c>
      <c r="AS146" s="67">
        <f t="shared" si="50"/>
        <v>0</v>
      </c>
      <c r="AT146" s="67">
        <f t="shared" si="50"/>
        <v>0</v>
      </c>
      <c r="AU146" s="67">
        <f t="shared" si="50"/>
        <v>0</v>
      </c>
      <c r="AV146" s="67">
        <f t="shared" si="50"/>
        <v>0</v>
      </c>
      <c r="AW146" s="67">
        <f t="shared" si="50"/>
        <v>0</v>
      </c>
      <c r="AX146" s="67">
        <f t="shared" si="50"/>
        <v>0</v>
      </c>
      <c r="AY146" s="67">
        <f t="shared" si="50"/>
        <v>0</v>
      </c>
      <c r="AZ146" s="67">
        <f t="shared" si="50"/>
        <v>0</v>
      </c>
      <c r="BA146" s="67">
        <f t="shared" si="50"/>
        <v>0</v>
      </c>
      <c r="BB146" s="67">
        <f t="shared" si="50"/>
        <v>0</v>
      </c>
      <c r="BC146" s="67">
        <f t="shared" si="50"/>
        <v>0</v>
      </c>
      <c r="BD146" s="67">
        <f t="shared" si="50"/>
        <v>0</v>
      </c>
      <c r="BE146" s="67">
        <f t="shared" si="50"/>
        <v>0</v>
      </c>
      <c r="BF146" s="67">
        <f t="shared" si="50"/>
        <v>0</v>
      </c>
      <c r="BG146" s="67">
        <f t="shared" si="50"/>
        <v>0</v>
      </c>
      <c r="BH146" s="67">
        <f t="shared" si="50"/>
        <v>0</v>
      </c>
      <c r="BI146" s="67">
        <f t="shared" si="50"/>
        <v>0</v>
      </c>
      <c r="BJ146" s="67">
        <f t="shared" si="50"/>
        <v>0</v>
      </c>
      <c r="BK146" s="67">
        <f t="shared" si="50"/>
        <v>0</v>
      </c>
      <c r="BL146" s="67">
        <f t="shared" si="50"/>
        <v>0</v>
      </c>
      <c r="BM146" s="67">
        <f t="shared" si="50"/>
        <v>0</v>
      </c>
      <c r="BN146" s="67">
        <f t="shared" si="50"/>
        <v>0</v>
      </c>
      <c r="BO146" s="67">
        <f t="shared" si="50"/>
        <v>0</v>
      </c>
      <c r="BP146" s="67">
        <f t="shared" si="50"/>
        <v>0</v>
      </c>
      <c r="BQ146" s="67">
        <f t="shared" si="50"/>
        <v>0</v>
      </c>
      <c r="BR146" s="67">
        <f t="shared" si="50"/>
        <v>0</v>
      </c>
      <c r="BS146" s="67">
        <f t="shared" si="50"/>
        <v>0</v>
      </c>
      <c r="BT146" s="67">
        <f t="shared" si="50"/>
        <v>0</v>
      </c>
      <c r="BU146" s="67">
        <f t="shared" si="50"/>
        <v>0</v>
      </c>
      <c r="BV146" s="67">
        <f t="shared" si="50"/>
        <v>0</v>
      </c>
      <c r="BW146" s="67">
        <f t="shared" si="50"/>
        <v>0</v>
      </c>
      <c r="BX146" s="67">
        <f aca="true" t="shared" si="51" ref="BX146:DF146">IF(BX141&lt;=$B$145,$F$145,0)</f>
        <v>0</v>
      </c>
      <c r="BY146" s="67">
        <f t="shared" si="51"/>
        <v>0</v>
      </c>
      <c r="BZ146" s="67">
        <f t="shared" si="51"/>
        <v>0</v>
      </c>
      <c r="CA146" s="67">
        <f t="shared" si="51"/>
        <v>0</v>
      </c>
      <c r="CB146" s="67">
        <f t="shared" si="51"/>
        <v>0</v>
      </c>
      <c r="CC146" s="67">
        <f t="shared" si="51"/>
        <v>0</v>
      </c>
      <c r="CD146" s="67">
        <f t="shared" si="51"/>
        <v>0</v>
      </c>
      <c r="CE146" s="67">
        <f t="shared" si="51"/>
        <v>0</v>
      </c>
      <c r="CF146" s="67">
        <f t="shared" si="51"/>
        <v>0</v>
      </c>
      <c r="CG146" s="67">
        <f t="shared" si="51"/>
        <v>0</v>
      </c>
      <c r="CH146" s="67">
        <f t="shared" si="51"/>
        <v>0</v>
      </c>
      <c r="CI146" s="67">
        <f t="shared" si="51"/>
        <v>0</v>
      </c>
      <c r="CJ146" s="67">
        <f t="shared" si="51"/>
        <v>0</v>
      </c>
      <c r="CK146" s="67">
        <f t="shared" si="51"/>
        <v>0</v>
      </c>
      <c r="CL146" s="67">
        <f t="shared" si="51"/>
        <v>0</v>
      </c>
      <c r="CM146" s="67">
        <f t="shared" si="51"/>
        <v>0</v>
      </c>
      <c r="CN146" s="67">
        <f t="shared" si="51"/>
        <v>0</v>
      </c>
      <c r="CO146" s="67">
        <f t="shared" si="51"/>
        <v>0</v>
      </c>
      <c r="CP146" s="67">
        <f t="shared" si="51"/>
        <v>0</v>
      </c>
      <c r="CQ146" s="67">
        <f t="shared" si="51"/>
        <v>0</v>
      </c>
      <c r="CR146" s="67">
        <f t="shared" si="51"/>
        <v>0</v>
      </c>
      <c r="CS146" s="67">
        <f t="shared" si="51"/>
        <v>0</v>
      </c>
      <c r="CT146" s="67">
        <f t="shared" si="51"/>
        <v>0</v>
      </c>
      <c r="CU146" s="67">
        <f t="shared" si="51"/>
        <v>0</v>
      </c>
      <c r="CV146" s="67">
        <f t="shared" si="51"/>
        <v>0</v>
      </c>
      <c r="CW146" s="67">
        <f t="shared" si="51"/>
        <v>0</v>
      </c>
      <c r="CX146" s="67">
        <f t="shared" si="51"/>
        <v>0</v>
      </c>
      <c r="CY146" s="67">
        <f t="shared" si="51"/>
        <v>0</v>
      </c>
      <c r="CZ146" s="67">
        <f t="shared" si="51"/>
        <v>0</v>
      </c>
      <c r="DA146" s="67">
        <f t="shared" si="51"/>
        <v>0</v>
      </c>
      <c r="DB146" s="67">
        <f t="shared" si="51"/>
        <v>0</v>
      </c>
      <c r="DC146" s="67">
        <f t="shared" si="51"/>
        <v>0</v>
      </c>
      <c r="DD146" s="67">
        <f t="shared" si="51"/>
        <v>0</v>
      </c>
      <c r="DE146" s="67">
        <f t="shared" si="51"/>
        <v>0</v>
      </c>
      <c r="DF146" s="67">
        <f t="shared" si="51"/>
        <v>0</v>
      </c>
    </row>
    <row r="147" spans="1:110" ht="25.5" customHeight="1">
      <c r="A147" s="11" t="s">
        <v>191</v>
      </c>
      <c r="B147" s="11">
        <v>15</v>
      </c>
      <c r="C147" s="11" t="s">
        <v>193</v>
      </c>
      <c r="D147" s="63">
        <f>Prices!B97</f>
        <v>350</v>
      </c>
      <c r="E147" s="675">
        <v>0</v>
      </c>
      <c r="F147" s="150">
        <f t="shared" si="47"/>
        <v>0</v>
      </c>
      <c r="G147" s="237">
        <f>F147/((1+'Farm &amp; Buffer Assumptions'!C74)^B147-1)</f>
        <v>0</v>
      </c>
      <c r="H147" s="678" t="s">
        <v>718</v>
      </c>
      <c r="J147" s="11" t="s">
        <v>286</v>
      </c>
      <c r="K147" s="67">
        <f>F146</f>
        <v>0</v>
      </c>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row>
    <row r="148" spans="1:110" ht="29.25" customHeight="1">
      <c r="A148" s="11" t="s">
        <v>192</v>
      </c>
      <c r="B148" s="11">
        <v>20</v>
      </c>
      <c r="C148" s="11" t="s">
        <v>193</v>
      </c>
      <c r="D148" s="272">
        <f>Prices!B100</f>
        <v>238</v>
      </c>
      <c r="E148" s="676">
        <f>IF('Farm &amp; Buffer Assumptions'!$C$80=1,'Buffer Harvest Sched'!B48,0)</f>
        <v>0</v>
      </c>
      <c r="F148" s="677" t="s">
        <v>717</v>
      </c>
      <c r="G148" s="237">
        <f>'Buffer Harvest Sched'!B55</f>
        <v>0</v>
      </c>
      <c r="H148" s="214" t="s">
        <v>719</v>
      </c>
      <c r="J148" s="13" t="s">
        <v>387</v>
      </c>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row>
    <row r="149" spans="1:110" ht="27.75" customHeight="1">
      <c r="A149" s="11" t="s">
        <v>194</v>
      </c>
      <c r="B149" s="11">
        <v>35</v>
      </c>
      <c r="C149" s="11" t="s">
        <v>193</v>
      </c>
      <c r="D149" s="63">
        <f>AVERAGE(Prices!B98:B99)</f>
        <v>350</v>
      </c>
      <c r="E149" s="676">
        <f>IF('Farm &amp; Buffer Assumptions'!$C$80=1,'Buffer Harvest Sched'!B49,0)</f>
        <v>0</v>
      </c>
      <c r="F149" s="677" t="s">
        <v>717</v>
      </c>
      <c r="G149" s="237">
        <f>'Buffer Harvest Sched'!B56</f>
        <v>0</v>
      </c>
      <c r="H149" s="214" t="s">
        <v>720</v>
      </c>
      <c r="J149" s="13" t="s">
        <v>389</v>
      </c>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row>
    <row r="150" spans="1:110" ht="18.75" customHeight="1">
      <c r="A150" s="70" t="s">
        <v>195</v>
      </c>
      <c r="B150" s="70"/>
      <c r="C150" s="65"/>
      <c r="D150" s="65"/>
      <c r="E150" s="152"/>
      <c r="F150" s="153"/>
      <c r="G150" s="241">
        <f>SUM(G142:G149)</f>
        <v>0</v>
      </c>
      <c r="H150" s="154"/>
      <c r="J150" s="13" t="s">
        <v>388</v>
      </c>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row>
    <row r="151" spans="1:110" ht="18" customHeight="1" thickBot="1">
      <c r="A151" s="155"/>
      <c r="B151" s="10"/>
      <c r="C151" s="10"/>
      <c r="D151" s="10"/>
      <c r="E151" s="156"/>
      <c r="F151" s="157"/>
      <c r="G151" s="244"/>
      <c r="H151" s="151"/>
      <c r="J151" s="171" t="s">
        <v>16</v>
      </c>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row>
    <row r="152" spans="1:110" ht="25.5" customHeight="1" thickBot="1">
      <c r="A152" s="684" t="s">
        <v>31</v>
      </c>
      <c r="B152" s="685" t="s">
        <v>176</v>
      </c>
      <c r="C152" s="686" t="s">
        <v>0</v>
      </c>
      <c r="D152" s="687" t="s">
        <v>11</v>
      </c>
      <c r="E152" s="688" t="s">
        <v>22</v>
      </c>
      <c r="F152" s="687" t="s">
        <v>18</v>
      </c>
      <c r="G152" s="688" t="s">
        <v>177</v>
      </c>
      <c r="H152" s="689" t="s">
        <v>84</v>
      </c>
      <c r="J152" s="11" t="s">
        <v>390</v>
      </c>
      <c r="K152" s="67">
        <f>F156</f>
        <v>0</v>
      </c>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row>
    <row r="153" spans="1:110" ht="40.5" customHeight="1">
      <c r="A153" s="13" t="s">
        <v>38</v>
      </c>
      <c r="B153" s="13">
        <v>1</v>
      </c>
      <c r="C153" s="11" t="s">
        <v>64</v>
      </c>
      <c r="D153" s="69">
        <f>Prices!C40</f>
        <v>850</v>
      </c>
      <c r="E153" s="63">
        <f>IF('Farm &amp; Buffer Assumptions'!$C$80=1,1,0)</f>
        <v>0</v>
      </c>
      <c r="F153" s="150">
        <f>E153*D153</f>
        <v>0</v>
      </c>
      <c r="G153" s="243">
        <f>F153</f>
        <v>0</v>
      </c>
      <c r="H153" s="151" t="s">
        <v>179</v>
      </c>
      <c r="J153" s="11" t="s">
        <v>391</v>
      </c>
      <c r="K153" s="11">
        <v>0</v>
      </c>
      <c r="L153" s="67">
        <f>F159</f>
        <v>0</v>
      </c>
      <c r="M153" s="67">
        <f>F159</f>
        <v>0</v>
      </c>
      <c r="N153" s="67">
        <f>F159</f>
        <v>0</v>
      </c>
      <c r="O153" s="67">
        <f>F159</f>
        <v>0</v>
      </c>
      <c r="P153" s="67">
        <f>F159</f>
        <v>0</v>
      </c>
      <c r="Q153" s="67">
        <f aca="true" t="shared" si="52" ref="Q153:BX153">$F$72</f>
        <v>266</v>
      </c>
      <c r="R153" s="67">
        <f t="shared" si="52"/>
        <v>266</v>
      </c>
      <c r="S153" s="67">
        <f t="shared" si="52"/>
        <v>266</v>
      </c>
      <c r="T153" s="67">
        <f t="shared" si="52"/>
        <v>266</v>
      </c>
      <c r="U153" s="67">
        <f t="shared" si="52"/>
        <v>266</v>
      </c>
      <c r="V153" s="67">
        <f t="shared" si="52"/>
        <v>266</v>
      </c>
      <c r="W153" s="67">
        <f t="shared" si="52"/>
        <v>266</v>
      </c>
      <c r="X153" s="67">
        <f t="shared" si="52"/>
        <v>266</v>
      </c>
      <c r="Y153" s="67">
        <f t="shared" si="52"/>
        <v>266</v>
      </c>
      <c r="Z153" s="67">
        <f t="shared" si="52"/>
        <v>266</v>
      </c>
      <c r="AA153" s="67">
        <f t="shared" si="52"/>
        <v>266</v>
      </c>
      <c r="AB153" s="67">
        <f t="shared" si="52"/>
        <v>266</v>
      </c>
      <c r="AC153" s="67">
        <f t="shared" si="52"/>
        <v>266</v>
      </c>
      <c r="AD153" s="67">
        <f t="shared" si="52"/>
        <v>266</v>
      </c>
      <c r="AE153" s="67">
        <f t="shared" si="52"/>
        <v>266</v>
      </c>
      <c r="AF153" s="67">
        <f t="shared" si="52"/>
        <v>266</v>
      </c>
      <c r="AG153" s="67">
        <f t="shared" si="52"/>
        <v>266</v>
      </c>
      <c r="AH153" s="67">
        <f t="shared" si="52"/>
        <v>266</v>
      </c>
      <c r="AI153" s="67">
        <f t="shared" si="52"/>
        <v>266</v>
      </c>
      <c r="AJ153" s="67">
        <f t="shared" si="52"/>
        <v>266</v>
      </c>
      <c r="AK153" s="67">
        <f t="shared" si="52"/>
        <v>266</v>
      </c>
      <c r="AL153" s="67">
        <f t="shared" si="52"/>
        <v>266</v>
      </c>
      <c r="AM153" s="67">
        <f t="shared" si="52"/>
        <v>266</v>
      </c>
      <c r="AN153" s="67">
        <f t="shared" si="52"/>
        <v>266</v>
      </c>
      <c r="AO153" s="67">
        <f t="shared" si="52"/>
        <v>266</v>
      </c>
      <c r="AP153" s="67">
        <f t="shared" si="52"/>
        <v>266</v>
      </c>
      <c r="AQ153" s="67">
        <f t="shared" si="52"/>
        <v>266</v>
      </c>
      <c r="AR153" s="67">
        <f t="shared" si="52"/>
        <v>266</v>
      </c>
      <c r="AS153" s="67">
        <f t="shared" si="52"/>
        <v>266</v>
      </c>
      <c r="AT153" s="67">
        <f t="shared" si="52"/>
        <v>266</v>
      </c>
      <c r="AU153" s="67">
        <f t="shared" si="52"/>
        <v>266</v>
      </c>
      <c r="AV153" s="67">
        <f t="shared" si="52"/>
        <v>266</v>
      </c>
      <c r="AW153" s="67">
        <f t="shared" si="52"/>
        <v>266</v>
      </c>
      <c r="AX153" s="67">
        <f t="shared" si="52"/>
        <v>266</v>
      </c>
      <c r="AY153" s="67">
        <f t="shared" si="52"/>
        <v>266</v>
      </c>
      <c r="AZ153" s="67">
        <f t="shared" si="52"/>
        <v>266</v>
      </c>
      <c r="BA153" s="67">
        <f t="shared" si="52"/>
        <v>266</v>
      </c>
      <c r="BB153" s="67">
        <f t="shared" si="52"/>
        <v>266</v>
      </c>
      <c r="BC153" s="67">
        <f t="shared" si="52"/>
        <v>266</v>
      </c>
      <c r="BD153" s="67">
        <f t="shared" si="52"/>
        <v>266</v>
      </c>
      <c r="BE153" s="67">
        <f t="shared" si="52"/>
        <v>266</v>
      </c>
      <c r="BF153" s="67">
        <f t="shared" si="52"/>
        <v>266</v>
      </c>
      <c r="BG153" s="67">
        <f t="shared" si="52"/>
        <v>266</v>
      </c>
      <c r="BH153" s="67">
        <f t="shared" si="52"/>
        <v>266</v>
      </c>
      <c r="BI153" s="67">
        <f t="shared" si="52"/>
        <v>266</v>
      </c>
      <c r="BJ153" s="67">
        <f t="shared" si="52"/>
        <v>266</v>
      </c>
      <c r="BK153" s="67">
        <f t="shared" si="52"/>
        <v>266</v>
      </c>
      <c r="BL153" s="67">
        <f t="shared" si="52"/>
        <v>266</v>
      </c>
      <c r="BM153" s="67">
        <f t="shared" si="52"/>
        <v>266</v>
      </c>
      <c r="BN153" s="67">
        <f t="shared" si="52"/>
        <v>266</v>
      </c>
      <c r="BO153" s="67">
        <f t="shared" si="52"/>
        <v>266</v>
      </c>
      <c r="BP153" s="67">
        <f t="shared" si="52"/>
        <v>266</v>
      </c>
      <c r="BQ153" s="67">
        <f t="shared" si="52"/>
        <v>266</v>
      </c>
      <c r="BR153" s="67">
        <f t="shared" si="52"/>
        <v>266</v>
      </c>
      <c r="BS153" s="67">
        <f t="shared" si="52"/>
        <v>266</v>
      </c>
      <c r="BT153" s="67">
        <f t="shared" si="52"/>
        <v>266</v>
      </c>
      <c r="BU153" s="67">
        <f t="shared" si="52"/>
        <v>266</v>
      </c>
      <c r="BV153" s="67">
        <f t="shared" si="52"/>
        <v>266</v>
      </c>
      <c r="BW153" s="67">
        <f t="shared" si="52"/>
        <v>266</v>
      </c>
      <c r="BX153" s="67">
        <f t="shared" si="52"/>
        <v>266</v>
      </c>
      <c r="BY153" s="67">
        <f aca="true" t="shared" si="53" ref="BY153:DF153">$F$72</f>
        <v>266</v>
      </c>
      <c r="BZ153" s="67">
        <f t="shared" si="53"/>
        <v>266</v>
      </c>
      <c r="CA153" s="67">
        <f t="shared" si="53"/>
        <v>266</v>
      </c>
      <c r="CB153" s="67">
        <f t="shared" si="53"/>
        <v>266</v>
      </c>
      <c r="CC153" s="67">
        <f t="shared" si="53"/>
        <v>266</v>
      </c>
      <c r="CD153" s="67">
        <f t="shared" si="53"/>
        <v>266</v>
      </c>
      <c r="CE153" s="67">
        <f t="shared" si="53"/>
        <v>266</v>
      </c>
      <c r="CF153" s="67">
        <f t="shared" si="53"/>
        <v>266</v>
      </c>
      <c r="CG153" s="67">
        <f t="shared" si="53"/>
        <v>266</v>
      </c>
      <c r="CH153" s="67">
        <f t="shared" si="53"/>
        <v>266</v>
      </c>
      <c r="CI153" s="67">
        <f t="shared" si="53"/>
        <v>266</v>
      </c>
      <c r="CJ153" s="67">
        <f t="shared" si="53"/>
        <v>266</v>
      </c>
      <c r="CK153" s="67">
        <f t="shared" si="53"/>
        <v>266</v>
      </c>
      <c r="CL153" s="67">
        <f t="shared" si="53"/>
        <v>266</v>
      </c>
      <c r="CM153" s="67">
        <f t="shared" si="53"/>
        <v>266</v>
      </c>
      <c r="CN153" s="67">
        <f t="shared" si="53"/>
        <v>266</v>
      </c>
      <c r="CO153" s="67">
        <f t="shared" si="53"/>
        <v>266</v>
      </c>
      <c r="CP153" s="67">
        <f t="shared" si="53"/>
        <v>266</v>
      </c>
      <c r="CQ153" s="67">
        <f t="shared" si="53"/>
        <v>266</v>
      </c>
      <c r="CR153" s="67">
        <f t="shared" si="53"/>
        <v>266</v>
      </c>
      <c r="CS153" s="67">
        <f t="shared" si="53"/>
        <v>266</v>
      </c>
      <c r="CT153" s="67">
        <f t="shared" si="53"/>
        <v>266</v>
      </c>
      <c r="CU153" s="67">
        <f t="shared" si="53"/>
        <v>266</v>
      </c>
      <c r="CV153" s="67">
        <f t="shared" si="53"/>
        <v>266</v>
      </c>
      <c r="CW153" s="67">
        <f t="shared" si="53"/>
        <v>266</v>
      </c>
      <c r="CX153" s="67">
        <f t="shared" si="53"/>
        <v>266</v>
      </c>
      <c r="CY153" s="67">
        <f t="shared" si="53"/>
        <v>266</v>
      </c>
      <c r="CZ153" s="67">
        <f t="shared" si="53"/>
        <v>266</v>
      </c>
      <c r="DA153" s="67">
        <f t="shared" si="53"/>
        <v>266</v>
      </c>
      <c r="DB153" s="67">
        <f t="shared" si="53"/>
        <v>266</v>
      </c>
      <c r="DC153" s="67">
        <f t="shared" si="53"/>
        <v>266</v>
      </c>
      <c r="DD153" s="67">
        <f t="shared" si="53"/>
        <v>266</v>
      </c>
      <c r="DE153" s="67">
        <f t="shared" si="53"/>
        <v>266</v>
      </c>
      <c r="DF153" s="67">
        <f t="shared" si="53"/>
        <v>266</v>
      </c>
    </row>
    <row r="154" spans="1:110" ht="63.75">
      <c r="A154" s="11" t="s">
        <v>33</v>
      </c>
      <c r="B154" s="11">
        <v>1</v>
      </c>
      <c r="C154" s="11" t="s">
        <v>64</v>
      </c>
      <c r="D154" s="69">
        <f>Prices!C37</f>
        <v>950</v>
      </c>
      <c r="E154" s="63">
        <f>IF('Farm &amp; Buffer Assumptions'!$C$80=1,1,0)</f>
        <v>0</v>
      </c>
      <c r="F154" s="150">
        <f>E154*D154</f>
        <v>0</v>
      </c>
      <c r="G154" s="243">
        <f>F154</f>
        <v>0</v>
      </c>
      <c r="H154" s="151" t="s">
        <v>180</v>
      </c>
      <c r="J154" s="11" t="s">
        <v>392</v>
      </c>
      <c r="K154" s="11">
        <v>0</v>
      </c>
      <c r="L154" s="67">
        <f>F160</f>
        <v>0</v>
      </c>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row>
    <row r="155" spans="1:110" ht="55.5" customHeight="1">
      <c r="A155" s="11" t="s">
        <v>78</v>
      </c>
      <c r="B155" s="11">
        <v>1</v>
      </c>
      <c r="C155" s="11" t="s">
        <v>64</v>
      </c>
      <c r="D155" s="69">
        <f>Prices!C38</f>
        <v>568</v>
      </c>
      <c r="E155" s="63">
        <f>IF('Farm &amp; Buffer Assumptions'!$C$80=1,1,0)</f>
        <v>0</v>
      </c>
      <c r="F155" s="150">
        <f>E155*D155</f>
        <v>0</v>
      </c>
      <c r="G155" s="243">
        <f>F155</f>
        <v>0</v>
      </c>
      <c r="H155" s="151" t="s">
        <v>181</v>
      </c>
      <c r="J155" s="11" t="s">
        <v>415</v>
      </c>
      <c r="K155" s="11"/>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row>
    <row r="156" spans="1:110" ht="18" customHeight="1">
      <c r="A156" s="65" t="s">
        <v>182</v>
      </c>
      <c r="B156" s="11"/>
      <c r="C156" s="11"/>
      <c r="D156" s="69"/>
      <c r="E156" s="63"/>
      <c r="F156" s="153">
        <f>SUM(F153:F155)</f>
        <v>0</v>
      </c>
      <c r="G156" s="241">
        <f>SUM(G153:G155)</f>
        <v>0</v>
      </c>
      <c r="H156" s="151"/>
      <c r="J156" s="11" t="s">
        <v>416</v>
      </c>
      <c r="K156" s="11"/>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row>
    <row r="157" spans="1:110" ht="18" customHeight="1" thickBot="1">
      <c r="A157" s="77"/>
      <c r="B157" s="12"/>
      <c r="C157" s="12"/>
      <c r="D157" s="158"/>
      <c r="E157" s="159"/>
      <c r="F157" s="159"/>
      <c r="G157" s="245"/>
      <c r="H157" s="151"/>
      <c r="J157" s="11" t="s">
        <v>417</v>
      </c>
      <c r="K157" s="11"/>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row>
    <row r="158" spans="1:110" ht="26.25" customHeight="1" thickBot="1">
      <c r="A158" s="684" t="s">
        <v>384</v>
      </c>
      <c r="B158" s="685" t="s">
        <v>176</v>
      </c>
      <c r="C158" s="686" t="s">
        <v>0</v>
      </c>
      <c r="D158" s="687" t="s">
        <v>11</v>
      </c>
      <c r="E158" s="688" t="s">
        <v>22</v>
      </c>
      <c r="F158" s="687" t="s">
        <v>18</v>
      </c>
      <c r="G158" s="688" t="s">
        <v>177</v>
      </c>
      <c r="H158" s="689"/>
      <c r="J158" s="11" t="s">
        <v>418</v>
      </c>
      <c r="K158" s="11"/>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row>
    <row r="159" spans="1:110" ht="43.5" customHeight="1">
      <c r="A159" s="11" t="s">
        <v>204</v>
      </c>
      <c r="B159" s="11">
        <v>5</v>
      </c>
      <c r="C159" s="11" t="s">
        <v>64</v>
      </c>
      <c r="D159" s="69">
        <f>Prices!C42</f>
        <v>350</v>
      </c>
      <c r="E159" s="63">
        <f>IF('Farm &amp; Buffer Assumptions'!$C$80=1,1,0)</f>
        <v>0</v>
      </c>
      <c r="F159" s="150">
        <f>E159*D159</f>
        <v>0</v>
      </c>
      <c r="G159" s="243">
        <f>-PV('Farm &amp; Buffer Assumptions'!C74,B159,F159)</f>
        <v>0</v>
      </c>
      <c r="H159" s="151" t="s">
        <v>183</v>
      </c>
      <c r="J159" s="11" t="s">
        <v>419</v>
      </c>
      <c r="K159" s="11"/>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row>
    <row r="160" spans="1:110" ht="18" customHeight="1">
      <c r="A160" s="11" t="s">
        <v>329</v>
      </c>
      <c r="B160" s="11">
        <v>2</v>
      </c>
      <c r="C160" s="11" t="s">
        <v>64</v>
      </c>
      <c r="D160" s="69">
        <f>D154</f>
        <v>950</v>
      </c>
      <c r="E160" s="676">
        <f>IF('Farm &amp; Buffer Assumptions'!$C$80=1,0.1,0)</f>
        <v>0</v>
      </c>
      <c r="F160" s="150">
        <f>E160*D160</f>
        <v>0</v>
      </c>
      <c r="G160" s="243">
        <f>F160/(1+'Farm &amp; Buffer Assumptions'!C74)^2</f>
        <v>0</v>
      </c>
      <c r="H160" s="151" t="s">
        <v>184</v>
      </c>
      <c r="J160" s="11" t="s">
        <v>420</v>
      </c>
      <c r="K160" s="11"/>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row>
    <row r="161" spans="1:110" ht="18" customHeight="1">
      <c r="A161" s="11" t="s">
        <v>196</v>
      </c>
      <c r="B161" s="690">
        <v>15</v>
      </c>
      <c r="C161" s="11" t="s">
        <v>64</v>
      </c>
      <c r="D161" s="69">
        <f>Prices!C43</f>
        <v>100</v>
      </c>
      <c r="E161" s="63">
        <f>'Farm &amp; Buffer Assumptions'!C83</f>
        <v>0</v>
      </c>
      <c r="F161" s="150">
        <f>E161*D161</f>
        <v>0</v>
      </c>
      <c r="G161" s="227">
        <f>F161/((1+'Farm &amp; Buffer Assumptions'!C74)^B161-1)</f>
        <v>0</v>
      </c>
      <c r="H161" s="151"/>
      <c r="J161" s="204" t="s">
        <v>280</v>
      </c>
      <c r="K161" s="33">
        <f>SUM(K143:K150)-SUM(K152:K160)</f>
        <v>0</v>
      </c>
      <c r="L161" s="33">
        <f aca="true" t="shared" si="54" ref="L161:BW161">SUM(L143:L150)-SUM(L152:L160)</f>
        <v>0</v>
      </c>
      <c r="M161" s="33">
        <f t="shared" si="54"/>
        <v>0</v>
      </c>
      <c r="N161" s="33">
        <f t="shared" si="54"/>
        <v>0</v>
      </c>
      <c r="O161" s="33">
        <f t="shared" si="54"/>
        <v>0</v>
      </c>
      <c r="P161" s="33">
        <f t="shared" si="54"/>
        <v>0</v>
      </c>
      <c r="Q161" s="33">
        <f t="shared" si="54"/>
        <v>-266</v>
      </c>
      <c r="R161" s="33">
        <f t="shared" si="54"/>
        <v>-266</v>
      </c>
      <c r="S161" s="33">
        <f t="shared" si="54"/>
        <v>-266</v>
      </c>
      <c r="T161" s="33">
        <f t="shared" si="54"/>
        <v>-266</v>
      </c>
      <c r="U161" s="33">
        <f t="shared" si="54"/>
        <v>-266</v>
      </c>
      <c r="V161" s="33">
        <f t="shared" si="54"/>
        <v>-266</v>
      </c>
      <c r="W161" s="33">
        <f t="shared" si="54"/>
        <v>-266</v>
      </c>
      <c r="X161" s="33">
        <f t="shared" si="54"/>
        <v>-266</v>
      </c>
      <c r="Y161" s="33">
        <f t="shared" si="54"/>
        <v>-266</v>
      </c>
      <c r="Z161" s="33">
        <f t="shared" si="54"/>
        <v>-266</v>
      </c>
      <c r="AA161" s="33">
        <f t="shared" si="54"/>
        <v>-266</v>
      </c>
      <c r="AB161" s="33">
        <f t="shared" si="54"/>
        <v>-266</v>
      </c>
      <c r="AC161" s="33">
        <f t="shared" si="54"/>
        <v>-266</v>
      </c>
      <c r="AD161" s="33">
        <f t="shared" si="54"/>
        <v>-266</v>
      </c>
      <c r="AE161" s="33">
        <f t="shared" si="54"/>
        <v>-266</v>
      </c>
      <c r="AF161" s="33">
        <f t="shared" si="54"/>
        <v>-266</v>
      </c>
      <c r="AG161" s="33">
        <f t="shared" si="54"/>
        <v>-266</v>
      </c>
      <c r="AH161" s="33">
        <f t="shared" si="54"/>
        <v>-266</v>
      </c>
      <c r="AI161" s="33">
        <f t="shared" si="54"/>
        <v>-266</v>
      </c>
      <c r="AJ161" s="33">
        <f t="shared" si="54"/>
        <v>-266</v>
      </c>
      <c r="AK161" s="33">
        <f t="shared" si="54"/>
        <v>-266</v>
      </c>
      <c r="AL161" s="33">
        <f t="shared" si="54"/>
        <v>-266</v>
      </c>
      <c r="AM161" s="33">
        <f t="shared" si="54"/>
        <v>-266</v>
      </c>
      <c r="AN161" s="33">
        <f t="shared" si="54"/>
        <v>-266</v>
      </c>
      <c r="AO161" s="33">
        <f t="shared" si="54"/>
        <v>-266</v>
      </c>
      <c r="AP161" s="33">
        <f t="shared" si="54"/>
        <v>-266</v>
      </c>
      <c r="AQ161" s="33">
        <f t="shared" si="54"/>
        <v>-266</v>
      </c>
      <c r="AR161" s="33">
        <f t="shared" si="54"/>
        <v>-266</v>
      </c>
      <c r="AS161" s="33">
        <f t="shared" si="54"/>
        <v>-266</v>
      </c>
      <c r="AT161" s="33">
        <f t="shared" si="54"/>
        <v>-266</v>
      </c>
      <c r="AU161" s="33">
        <f t="shared" si="54"/>
        <v>-266</v>
      </c>
      <c r="AV161" s="33">
        <f t="shared" si="54"/>
        <v>-266</v>
      </c>
      <c r="AW161" s="33">
        <f t="shared" si="54"/>
        <v>-266</v>
      </c>
      <c r="AX161" s="33">
        <f t="shared" si="54"/>
        <v>-266</v>
      </c>
      <c r="AY161" s="33">
        <f t="shared" si="54"/>
        <v>-266</v>
      </c>
      <c r="AZ161" s="33">
        <f t="shared" si="54"/>
        <v>-266</v>
      </c>
      <c r="BA161" s="33">
        <f t="shared" si="54"/>
        <v>-266</v>
      </c>
      <c r="BB161" s="33">
        <f t="shared" si="54"/>
        <v>-266</v>
      </c>
      <c r="BC161" s="33">
        <f t="shared" si="54"/>
        <v>-266</v>
      </c>
      <c r="BD161" s="33">
        <f t="shared" si="54"/>
        <v>-266</v>
      </c>
      <c r="BE161" s="33">
        <f t="shared" si="54"/>
        <v>-266</v>
      </c>
      <c r="BF161" s="33">
        <f t="shared" si="54"/>
        <v>-266</v>
      </c>
      <c r="BG161" s="33">
        <f t="shared" si="54"/>
        <v>-266</v>
      </c>
      <c r="BH161" s="33">
        <f t="shared" si="54"/>
        <v>-266</v>
      </c>
      <c r="BI161" s="33">
        <f t="shared" si="54"/>
        <v>-266</v>
      </c>
      <c r="BJ161" s="33">
        <f t="shared" si="54"/>
        <v>-266</v>
      </c>
      <c r="BK161" s="33">
        <f t="shared" si="54"/>
        <v>-266</v>
      </c>
      <c r="BL161" s="33">
        <f t="shared" si="54"/>
        <v>-266</v>
      </c>
      <c r="BM161" s="33">
        <f t="shared" si="54"/>
        <v>-266</v>
      </c>
      <c r="BN161" s="33">
        <f t="shared" si="54"/>
        <v>-266</v>
      </c>
      <c r="BO161" s="33">
        <f t="shared" si="54"/>
        <v>-266</v>
      </c>
      <c r="BP161" s="33">
        <f t="shared" si="54"/>
        <v>-266</v>
      </c>
      <c r="BQ161" s="33">
        <f t="shared" si="54"/>
        <v>-266</v>
      </c>
      <c r="BR161" s="33">
        <f t="shared" si="54"/>
        <v>-266</v>
      </c>
      <c r="BS161" s="33">
        <f t="shared" si="54"/>
        <v>-266</v>
      </c>
      <c r="BT161" s="33">
        <f t="shared" si="54"/>
        <v>-266</v>
      </c>
      <c r="BU161" s="33">
        <f t="shared" si="54"/>
        <v>-266</v>
      </c>
      <c r="BV161" s="33">
        <f t="shared" si="54"/>
        <v>-266</v>
      </c>
      <c r="BW161" s="33">
        <f t="shared" si="54"/>
        <v>-266</v>
      </c>
      <c r="BX161" s="33">
        <f aca="true" t="shared" si="55" ref="BX161:DF161">SUM(BX143:BX150)-SUM(BX152:BX160)</f>
        <v>-266</v>
      </c>
      <c r="BY161" s="33">
        <f t="shared" si="55"/>
        <v>-266</v>
      </c>
      <c r="BZ161" s="33">
        <f t="shared" si="55"/>
        <v>-266</v>
      </c>
      <c r="CA161" s="33">
        <f t="shared" si="55"/>
        <v>-266</v>
      </c>
      <c r="CB161" s="33">
        <f t="shared" si="55"/>
        <v>-266</v>
      </c>
      <c r="CC161" s="33">
        <f t="shared" si="55"/>
        <v>-266</v>
      </c>
      <c r="CD161" s="33">
        <f t="shared" si="55"/>
        <v>-266</v>
      </c>
      <c r="CE161" s="33">
        <f t="shared" si="55"/>
        <v>-266</v>
      </c>
      <c r="CF161" s="33">
        <f t="shared" si="55"/>
        <v>-266</v>
      </c>
      <c r="CG161" s="33">
        <f t="shared" si="55"/>
        <v>-266</v>
      </c>
      <c r="CH161" s="33">
        <f t="shared" si="55"/>
        <v>-266</v>
      </c>
      <c r="CI161" s="33">
        <f t="shared" si="55"/>
        <v>-266</v>
      </c>
      <c r="CJ161" s="33">
        <f t="shared" si="55"/>
        <v>-266</v>
      </c>
      <c r="CK161" s="33">
        <f t="shared" si="55"/>
        <v>-266</v>
      </c>
      <c r="CL161" s="33">
        <f t="shared" si="55"/>
        <v>-266</v>
      </c>
      <c r="CM161" s="33">
        <f t="shared" si="55"/>
        <v>-266</v>
      </c>
      <c r="CN161" s="33">
        <f t="shared" si="55"/>
        <v>-266</v>
      </c>
      <c r="CO161" s="33">
        <f t="shared" si="55"/>
        <v>-266</v>
      </c>
      <c r="CP161" s="33">
        <f t="shared" si="55"/>
        <v>-266</v>
      </c>
      <c r="CQ161" s="33">
        <f t="shared" si="55"/>
        <v>-266</v>
      </c>
      <c r="CR161" s="33">
        <f t="shared" si="55"/>
        <v>-266</v>
      </c>
      <c r="CS161" s="33">
        <f t="shared" si="55"/>
        <v>-266</v>
      </c>
      <c r="CT161" s="33">
        <f t="shared" si="55"/>
        <v>-266</v>
      </c>
      <c r="CU161" s="33">
        <f t="shared" si="55"/>
        <v>-266</v>
      </c>
      <c r="CV161" s="33">
        <f t="shared" si="55"/>
        <v>-266</v>
      </c>
      <c r="CW161" s="33">
        <f t="shared" si="55"/>
        <v>-266</v>
      </c>
      <c r="CX161" s="33">
        <f t="shared" si="55"/>
        <v>-266</v>
      </c>
      <c r="CY161" s="33">
        <f t="shared" si="55"/>
        <v>-266</v>
      </c>
      <c r="CZ161" s="33">
        <f t="shared" si="55"/>
        <v>-266</v>
      </c>
      <c r="DA161" s="33">
        <f t="shared" si="55"/>
        <v>-266</v>
      </c>
      <c r="DB161" s="33">
        <f t="shared" si="55"/>
        <v>-266</v>
      </c>
      <c r="DC161" s="33">
        <f t="shared" si="55"/>
        <v>-266</v>
      </c>
      <c r="DD161" s="33">
        <f t="shared" si="55"/>
        <v>-266</v>
      </c>
      <c r="DE161" s="33">
        <f t="shared" si="55"/>
        <v>-266</v>
      </c>
      <c r="DF161" s="33">
        <f t="shared" si="55"/>
        <v>-266</v>
      </c>
    </row>
    <row r="162" spans="1:110" ht="18" customHeight="1">
      <c r="A162" s="11" t="s">
        <v>222</v>
      </c>
      <c r="B162" s="690"/>
      <c r="C162" s="11" t="s">
        <v>64</v>
      </c>
      <c r="D162" s="69">
        <f>Prices!C44</f>
        <v>75</v>
      </c>
      <c r="E162" s="63">
        <f>'Farm &amp; Buffer Assumptions'!C81</f>
        <v>0</v>
      </c>
      <c r="F162" s="150">
        <f>E162*D162</f>
        <v>0</v>
      </c>
      <c r="G162" s="227">
        <f>F162/(1+'Farm &amp; Buffer Assumptions'!C74)^B162</f>
        <v>0</v>
      </c>
      <c r="H162" s="151"/>
      <c r="J162" t="s">
        <v>289</v>
      </c>
      <c r="K162" s="188"/>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row>
    <row r="163" spans="1:17" ht="18" customHeight="1">
      <c r="A163" s="11" t="s">
        <v>223</v>
      </c>
      <c r="B163" s="690"/>
      <c r="C163" s="11" t="s">
        <v>64</v>
      </c>
      <c r="D163" s="69">
        <f>Prices!C45</f>
        <v>95</v>
      </c>
      <c r="E163" s="63">
        <f>'Farm &amp; Buffer Assumptions'!C82</f>
        <v>0</v>
      </c>
      <c r="F163" s="150">
        <f>E163*D163</f>
        <v>0</v>
      </c>
      <c r="G163" s="227">
        <f>F163/(1+'Farm &amp; Buffer Assumptions'!C74)^B163</f>
        <v>0</v>
      </c>
      <c r="H163" s="151"/>
      <c r="J163" s="254" t="s">
        <v>372</v>
      </c>
      <c r="K163" s="255"/>
      <c r="L163" s="6"/>
      <c r="M163" s="17" t="s">
        <v>422</v>
      </c>
      <c r="N163" s="6"/>
      <c r="O163" s="6"/>
      <c r="P163" s="255"/>
      <c r="Q163" s="6"/>
    </row>
    <row r="164" spans="1:14" ht="18" customHeight="1">
      <c r="A164" s="11" t="s">
        <v>721</v>
      </c>
      <c r="B164" s="690" t="s">
        <v>722</v>
      </c>
      <c r="C164" s="11" t="s">
        <v>48</v>
      </c>
      <c r="D164" s="69">
        <f>Prices!C46</f>
        <v>25</v>
      </c>
      <c r="E164" s="63">
        <f>IF('Farm &amp; Buffer Assumptions'!$C$80=1,'Buffer Harvest Sched'!B61+'Buffer Harvest Sched'!B62,0)</f>
        <v>0</v>
      </c>
      <c r="F164" s="677" t="s">
        <v>717</v>
      </c>
      <c r="G164" s="227">
        <f>'Buffer Harvest Sched'!B66</f>
        <v>0</v>
      </c>
      <c r="H164" s="151"/>
      <c r="J164" s="29" t="s">
        <v>291</v>
      </c>
      <c r="K164" s="253">
        <f>NPV('Farm &amp; Buffer Assumptions'!C74,K161:AD161)</f>
        <v>-2220.6184038668744</v>
      </c>
      <c r="M164" s="222">
        <f>K143</f>
        <v>0</v>
      </c>
      <c r="N164" s="216" t="s">
        <v>43</v>
      </c>
    </row>
    <row r="165" spans="1:15" ht="18" customHeight="1">
      <c r="A165" s="11" t="s">
        <v>393</v>
      </c>
      <c r="B165" s="690" t="s">
        <v>722</v>
      </c>
      <c r="C165" s="11" t="s">
        <v>48</v>
      </c>
      <c r="D165" s="69">
        <f>Prices!C48</f>
        <v>5.74</v>
      </c>
      <c r="E165" s="691">
        <f>E164</f>
        <v>0</v>
      </c>
      <c r="F165" s="677" t="s">
        <v>717</v>
      </c>
      <c r="G165" s="227">
        <f>'Buffer Harvest Sched'!B67</f>
        <v>0</v>
      </c>
      <c r="H165" s="151"/>
      <c r="J165" s="29" t="s">
        <v>292</v>
      </c>
      <c r="K165" s="153">
        <f>NPV('Farm &amp; Buffer Assumptions'!C74,K161:AN161)</f>
        <v>-3205.27245408222</v>
      </c>
      <c r="M165" s="223">
        <f>NPV('Farm &amp; Buffer Assumptions'!C74,K144:P144)</f>
        <v>0</v>
      </c>
      <c r="N165" s="10" t="s">
        <v>338</v>
      </c>
      <c r="O165" s="1"/>
    </row>
    <row r="166" spans="1:25" ht="18" customHeight="1">
      <c r="A166" s="65" t="s">
        <v>385</v>
      </c>
      <c r="B166" s="11"/>
      <c r="C166" s="11"/>
      <c r="D166" s="69"/>
      <c r="E166" s="63"/>
      <c r="F166" s="153"/>
      <c r="G166" s="241">
        <f>SUM(G159:G165)</f>
        <v>0</v>
      </c>
      <c r="H166" s="151"/>
      <c r="J166" s="29" t="s">
        <v>293</v>
      </c>
      <c r="K166" s="153">
        <f>NPV('Farm &amp; Buffer Assumptions'!C74,K161:AX161)</f>
        <v>-3870.4694490969073</v>
      </c>
      <c r="L166" s="1"/>
      <c r="M166" s="223">
        <f>NPV('Farm &amp; Buffer Assumptions'!C74,K145:L145)</f>
        <v>0</v>
      </c>
      <c r="N166" s="216" t="s">
        <v>328</v>
      </c>
      <c r="P166" s="1"/>
      <c r="Q166" s="1"/>
      <c r="R166" s="1"/>
      <c r="S166" s="1"/>
      <c r="T166" s="1"/>
      <c r="U166" s="1"/>
      <c r="V166" s="1"/>
      <c r="W166" s="1"/>
      <c r="X166" s="1"/>
      <c r="Y166" s="1"/>
    </row>
    <row r="167" spans="1:14" ht="18" customHeight="1">
      <c r="A167" s="77"/>
      <c r="B167" s="12"/>
      <c r="C167" s="12"/>
      <c r="D167" s="158"/>
      <c r="E167" s="159"/>
      <c r="F167" s="160"/>
      <c r="G167" s="246"/>
      <c r="H167" s="151"/>
      <c r="J167" s="29" t="s">
        <v>294</v>
      </c>
      <c r="K167" s="153">
        <f>NPV('Farm &amp; Buffer Assumptions'!C74,K161:BH161)</f>
        <v>-4319.852704139424</v>
      </c>
      <c r="M167" s="224">
        <f>NPV('Farm &amp; Buffer Assumptions'!C74,K146:Y146)</f>
        <v>0</v>
      </c>
      <c r="N167" s="216" t="s">
        <v>234</v>
      </c>
    </row>
    <row r="168" spans="1:14" ht="21.75" customHeight="1">
      <c r="A168" s="70" t="s">
        <v>186</v>
      </c>
      <c r="B168" s="70"/>
      <c r="C168" s="70"/>
      <c r="D168" s="72"/>
      <c r="E168" s="73"/>
      <c r="F168" s="161"/>
      <c r="G168" s="247">
        <f>G156+G166</f>
        <v>0</v>
      </c>
      <c r="H168" s="162"/>
      <c r="J168" s="29" t="s">
        <v>295</v>
      </c>
      <c r="K168" s="153">
        <f>NPV('Farm &amp; Buffer Assumptions'!C74,K161:BR161)</f>
        <v>-4623.439929316452</v>
      </c>
      <c r="M168" s="223">
        <f>K147</f>
        <v>0</v>
      </c>
      <c r="N168" s="216" t="s">
        <v>86</v>
      </c>
    </row>
    <row r="169" spans="1:14" ht="24.75" customHeight="1">
      <c r="A169" s="77"/>
      <c r="B169" s="12"/>
      <c r="C169" s="12"/>
      <c r="D169" s="12"/>
      <c r="E169" s="159"/>
      <c r="F169" s="76"/>
      <c r="G169" s="245"/>
      <c r="H169" s="34"/>
      <c r="J169" s="29" t="s">
        <v>296</v>
      </c>
      <c r="K169" s="153">
        <f>NPV('Farm &amp; Buffer Assumptions'!C74,K161:CB161)</f>
        <v>-4828.532580759302</v>
      </c>
      <c r="M169" s="223">
        <f>NPV('Farm &amp; Buffer Assumptions'!C74,K148:DF148)</f>
        <v>0</v>
      </c>
      <c r="N169" s="216" t="s">
        <v>387</v>
      </c>
    </row>
    <row r="170" spans="1:14" ht="18.75" customHeight="1">
      <c r="A170" s="692" t="s">
        <v>312</v>
      </c>
      <c r="B170" s="692"/>
      <c r="C170" s="692"/>
      <c r="D170" s="692"/>
      <c r="E170" s="693"/>
      <c r="F170" s="694"/>
      <c r="G170" s="694">
        <f>G150-G168</f>
        <v>0</v>
      </c>
      <c r="H170" s="695"/>
      <c r="J170" s="29" t="s">
        <v>297</v>
      </c>
      <c r="K170" s="153">
        <f>NPV('Farm &amp; Buffer Assumptions'!C74,K161:CL161)</f>
        <v>-4967.0858273635695</v>
      </c>
      <c r="M170" s="223">
        <f>NPV('Farm &amp; Buffer Assumptions'!C74,K149:DF149)</f>
        <v>0</v>
      </c>
      <c r="N170" s="216" t="s">
        <v>389</v>
      </c>
    </row>
    <row r="171" spans="1:17" ht="40.5" customHeight="1">
      <c r="A171" s="756" t="s">
        <v>265</v>
      </c>
      <c r="B171" s="757"/>
      <c r="C171" s="757"/>
      <c r="D171" s="757"/>
      <c r="E171" s="757"/>
      <c r="F171" s="757"/>
      <c r="G171" s="757"/>
      <c r="H171" s="757"/>
      <c r="J171" s="29" t="s">
        <v>298</v>
      </c>
      <c r="K171" s="153">
        <f>NPV('Farm &amp; Buffer Assumptions'!C74,K161:CV161)</f>
        <v>-5060.687436243899</v>
      </c>
      <c r="M171" s="275">
        <f>NPV('Farm &amp; Buffer Assumptions'!C74,K150:DF150)</f>
        <v>0</v>
      </c>
      <c r="N171" s="276" t="s">
        <v>388</v>
      </c>
      <c r="O171" s="6"/>
      <c r="P171" s="6"/>
      <c r="Q171" s="6"/>
    </row>
    <row r="172" spans="1:14" ht="39.75" customHeight="1">
      <c r="A172" s="759" t="s">
        <v>187</v>
      </c>
      <c r="B172" s="752"/>
      <c r="C172" s="752"/>
      <c r="D172" s="752"/>
      <c r="E172" s="752"/>
      <c r="F172" s="752"/>
      <c r="G172" s="752"/>
      <c r="H172" s="752"/>
      <c r="J172" s="29" t="s">
        <v>299</v>
      </c>
      <c r="K172" s="153">
        <f>NPV('Farm &amp; Buffer Assumptions'!C74,K161:DF161)</f>
        <v>-5123.921329347894</v>
      </c>
      <c r="M172" s="223">
        <f>NPV('Farm &amp; Buffer Assumptions'!C74,K153:P153)</f>
        <v>0</v>
      </c>
      <c r="N172" t="s">
        <v>339</v>
      </c>
    </row>
    <row r="173" spans="1:14" ht="25.5" customHeight="1">
      <c r="A173" s="758" t="s">
        <v>188</v>
      </c>
      <c r="B173" s="752"/>
      <c r="C173" s="752"/>
      <c r="D173" s="752"/>
      <c r="E173" s="752"/>
      <c r="F173" s="752"/>
      <c r="G173" s="752"/>
      <c r="H173" s="752"/>
      <c r="M173" s="223">
        <f>NPV('Farm &amp; Buffer Assumptions'!C74,K154:P154)</f>
        <v>0</v>
      </c>
      <c r="N173" t="s">
        <v>337</v>
      </c>
    </row>
    <row r="174" spans="1:16" ht="24" customHeight="1">
      <c r="A174" s="752" t="s">
        <v>189</v>
      </c>
      <c r="B174" s="752"/>
      <c r="C174" s="752"/>
      <c r="D174" s="752"/>
      <c r="E174" s="752"/>
      <c r="F174" s="752"/>
      <c r="G174" s="752"/>
      <c r="H174" s="752"/>
      <c r="M174" s="223">
        <f>NPV('Farm &amp; Buffer Assumptions'!C74,K155:P155)</f>
        <v>0</v>
      </c>
      <c r="N174" s="10" t="s">
        <v>415</v>
      </c>
      <c r="P174" s="10"/>
    </row>
    <row r="175" spans="1:16" ht="28.5" customHeight="1">
      <c r="A175" s="752" t="s">
        <v>190</v>
      </c>
      <c r="B175" s="752"/>
      <c r="C175" s="752"/>
      <c r="D175" s="752"/>
      <c r="E175" s="752"/>
      <c r="F175" s="752"/>
      <c r="G175" s="752"/>
      <c r="H175" s="752"/>
      <c r="M175" s="223">
        <f>NPV('Farm &amp; Buffer Assumptions'!C74,K156:P156)</f>
        <v>0</v>
      </c>
      <c r="N175" s="10" t="s">
        <v>416</v>
      </c>
      <c r="P175" s="10"/>
    </row>
    <row r="176" spans="1:110" s="1" customFormat="1" ht="30.75" customHeight="1" thickBot="1">
      <c r="A176"/>
      <c r="B176"/>
      <c r="C176"/>
      <c r="D176"/>
      <c r="E176"/>
      <c r="F176"/>
      <c r="G176" s="64"/>
      <c r="J176"/>
      <c r="K176"/>
      <c r="L176"/>
      <c r="M176" s="223">
        <f>NPV('Farm &amp; Buffer Assumptions'!C74,K157:P157)</f>
        <v>0</v>
      </c>
      <c r="N176" s="10" t="s">
        <v>417</v>
      </c>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row>
    <row r="177" spans="1:110" s="1" customFormat="1" ht="33.75" customHeight="1" thickBot="1">
      <c r="A177" s="480" t="s">
        <v>354</v>
      </c>
      <c r="B177" s="475" t="s">
        <v>176</v>
      </c>
      <c r="C177" s="475" t="s">
        <v>0</v>
      </c>
      <c r="D177" s="476" t="s">
        <v>11</v>
      </c>
      <c r="E177" s="476" t="s">
        <v>22</v>
      </c>
      <c r="F177" s="476" t="s">
        <v>18</v>
      </c>
      <c r="G177" s="476" t="s">
        <v>177</v>
      </c>
      <c r="H177" s="475" t="s">
        <v>178</v>
      </c>
      <c r="J177"/>
      <c r="K177"/>
      <c r="L177"/>
      <c r="M177" s="223">
        <f>NPV('Farm &amp; Buffer Assumptions'!C74,K158:P158)</f>
        <v>0</v>
      </c>
      <c r="N177" s="10" t="s">
        <v>418</v>
      </c>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row>
    <row r="178" spans="1:110" s="1" customFormat="1" ht="18" customHeight="1">
      <c r="A178" s="645" t="s">
        <v>42</v>
      </c>
      <c r="B178" s="646"/>
      <c r="C178" s="646"/>
      <c r="D178" s="647"/>
      <c r="E178" s="647"/>
      <c r="F178" s="647"/>
      <c r="G178" s="647"/>
      <c r="H178" s="704"/>
      <c r="J178"/>
      <c r="K178"/>
      <c r="L178"/>
      <c r="M178" s="223">
        <f>NPV('Farm &amp; Buffer Assumptions'!C74,K159:P159)</f>
        <v>0</v>
      </c>
      <c r="N178" s="10" t="s">
        <v>419</v>
      </c>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row>
    <row r="179" spans="1:110" s="1" customFormat="1" ht="44.25" customHeight="1">
      <c r="A179" s="13" t="s">
        <v>43</v>
      </c>
      <c r="B179" s="13">
        <v>1</v>
      </c>
      <c r="C179" s="13" t="s">
        <v>64</v>
      </c>
      <c r="D179" s="13">
        <f>IF('Farm &amp; Buffer Assumptions'!C129=1,F191*'Farm &amp; Buffer Assumptions'!C92,0)</f>
        <v>0</v>
      </c>
      <c r="E179" s="167">
        <v>1</v>
      </c>
      <c r="F179" s="168">
        <f>E179*D179</f>
        <v>0</v>
      </c>
      <c r="G179" s="231">
        <f>F179</f>
        <v>0</v>
      </c>
      <c r="H179" s="151"/>
      <c r="J179"/>
      <c r="K179"/>
      <c r="L179"/>
      <c r="M179" s="223">
        <f>NPV('Farm &amp; Buffer Assumptions'!C74,K160:P160)</f>
        <v>0</v>
      </c>
      <c r="N179" s="10" t="s">
        <v>420</v>
      </c>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row>
    <row r="180" spans="1:110" s="1" customFormat="1" ht="19.5" customHeight="1">
      <c r="A180" s="13" t="s">
        <v>237</v>
      </c>
      <c r="B180" s="13">
        <f>'Farm &amp; Buffer Assumptions'!C95</f>
        <v>5</v>
      </c>
      <c r="C180" s="13" t="s">
        <v>64</v>
      </c>
      <c r="D180" s="13">
        <f>IF('Farm &amp; Buffer Assumptions'!C130=1,F198*'Farm &amp; Buffer Assumptions'!C93,0)</f>
        <v>0</v>
      </c>
      <c r="E180" s="167">
        <v>1</v>
      </c>
      <c r="F180" s="168">
        <f>E180*D180</f>
        <v>0</v>
      </c>
      <c r="G180" s="231">
        <f>PV('Farm &amp; Buffer Assumptions'!C74,B180,-F180)</f>
        <v>0</v>
      </c>
      <c r="H180" s="151"/>
      <c r="J180"/>
      <c r="K180"/>
      <c r="L180"/>
      <c r="M180" s="226">
        <f>SUM(M164:M171)-SUM(M172:M179)</f>
        <v>0</v>
      </c>
      <c r="N180" t="s">
        <v>346</v>
      </c>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row>
    <row r="181" spans="1:110" s="1" customFormat="1" ht="19.5" customHeight="1">
      <c r="A181" s="13" t="s">
        <v>234</v>
      </c>
      <c r="B181" s="13">
        <f>'Farm &amp; Buffer Assumptions'!C89</f>
        <v>15</v>
      </c>
      <c r="C181" s="13" t="s">
        <v>64</v>
      </c>
      <c r="D181" s="13">
        <f>IF('Farm &amp; Buffer Assumptions'!C127=1,Prices!C29*'Farm &amp; Buffer Assumptions'!C90,0)</f>
        <v>0</v>
      </c>
      <c r="E181" s="167">
        <v>1</v>
      </c>
      <c r="F181" s="168">
        <f>E181*D181</f>
        <v>0</v>
      </c>
      <c r="G181" s="231">
        <f>-PV('Farm &amp; Buffer Assumptions'!C74,B181,F181)</f>
        <v>0</v>
      </c>
      <c r="H181" s="15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row>
    <row r="182" spans="1:110" s="1" customFormat="1" ht="19.5" customHeight="1">
      <c r="A182" s="13" t="s">
        <v>86</v>
      </c>
      <c r="B182" s="13">
        <v>1</v>
      </c>
      <c r="C182" s="13" t="s">
        <v>64</v>
      </c>
      <c r="D182" s="13">
        <f>IF('Farm &amp; Buffer Assumptions'!C128=1,'Farm &amp; Buffer Assumptions'!C91,0)</f>
        <v>0</v>
      </c>
      <c r="E182" s="167">
        <v>1</v>
      </c>
      <c r="F182" s="168">
        <f>E182*D182</f>
        <v>0</v>
      </c>
      <c r="G182" s="231">
        <f>F182</f>
        <v>0</v>
      </c>
      <c r="H182" s="151"/>
      <c r="J182"/>
      <c r="K182"/>
      <c r="L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row>
    <row r="183" spans="1:110" s="1" customFormat="1" ht="19.5" customHeight="1">
      <c r="A183" s="13" t="s">
        <v>306</v>
      </c>
      <c r="B183" s="13" t="s">
        <v>205</v>
      </c>
      <c r="C183" s="13" t="s">
        <v>48</v>
      </c>
      <c r="D183" s="167">
        <f>Prices!C12</f>
        <v>28.5</v>
      </c>
      <c r="E183" s="167">
        <f>'Farm &amp; Buffer Assumptions'!C76</f>
        <v>11</v>
      </c>
      <c r="F183" s="168">
        <f>E183*D183</f>
        <v>313.5</v>
      </c>
      <c r="G183" s="228">
        <f>F183/'Farm &amp; Buffer Assumptions'!C74</f>
        <v>7837.5</v>
      </c>
      <c r="H183" s="151"/>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row>
    <row r="184" spans="1:110" s="1" customFormat="1" ht="19.5" customHeight="1">
      <c r="A184" s="170" t="s">
        <v>209</v>
      </c>
      <c r="B184" s="170"/>
      <c r="C184" s="171"/>
      <c r="D184" s="171"/>
      <c r="E184" s="171"/>
      <c r="F184" s="172">
        <f>SUM(F179:F183)</f>
        <v>313.5</v>
      </c>
      <c r="G184" s="229">
        <f>SUM(G179:G183)</f>
        <v>7837.5</v>
      </c>
      <c r="H184" s="15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row>
    <row r="185" spans="6:110" s="1" customFormat="1" ht="19.5" customHeight="1">
      <c r="F185" s="14"/>
      <c r="G185" s="230"/>
      <c r="H185" s="151"/>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row>
    <row r="186" spans="1:110" s="1" customFormat="1" ht="19.5" customHeight="1">
      <c r="A186" s="642" t="s">
        <v>210</v>
      </c>
      <c r="B186" s="642"/>
      <c r="C186" s="643"/>
      <c r="D186" s="643"/>
      <c r="E186" s="643"/>
      <c r="F186" s="644"/>
      <c r="G186" s="644"/>
      <c r="H186" s="689"/>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row>
    <row r="187" spans="1:110" s="1" customFormat="1" ht="19.5" customHeight="1">
      <c r="A187" s="13" t="s">
        <v>211</v>
      </c>
      <c r="B187" s="13">
        <v>1</v>
      </c>
      <c r="C187" s="13" t="s">
        <v>64</v>
      </c>
      <c r="D187" s="173">
        <f>Prices!C40</f>
        <v>850</v>
      </c>
      <c r="E187" s="167">
        <v>1</v>
      </c>
      <c r="F187" s="168">
        <f>E187*D187</f>
        <v>850</v>
      </c>
      <c r="G187" s="228">
        <f>F187</f>
        <v>850</v>
      </c>
      <c r="H187" s="151" t="s">
        <v>212</v>
      </c>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row>
    <row r="188" spans="1:110" s="1" customFormat="1" ht="19.5" customHeight="1">
      <c r="A188" s="13" t="s">
        <v>213</v>
      </c>
      <c r="B188" s="13"/>
      <c r="C188" s="13" t="s">
        <v>64</v>
      </c>
      <c r="D188" s="481">
        <f>Prices!C36</f>
        <v>30</v>
      </c>
      <c r="E188" s="167">
        <v>1</v>
      </c>
      <c r="F188" s="168">
        <f>E188*D188</f>
        <v>30</v>
      </c>
      <c r="G188" s="228">
        <f>F188</f>
        <v>30</v>
      </c>
      <c r="H188" s="151"/>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row>
    <row r="189" spans="1:110" s="1" customFormat="1" ht="19.5" customHeight="1">
      <c r="A189" s="13" t="s">
        <v>214</v>
      </c>
      <c r="B189" s="13"/>
      <c r="C189" s="13" t="s">
        <v>64</v>
      </c>
      <c r="D189" s="173">
        <f>Prices!C34</f>
        <v>39</v>
      </c>
      <c r="E189" s="167">
        <v>1</v>
      </c>
      <c r="F189" s="168">
        <f>E189*D189</f>
        <v>39</v>
      </c>
      <c r="G189" s="228">
        <f>F189</f>
        <v>39</v>
      </c>
      <c r="H189" s="151"/>
      <c r="J189"/>
      <c r="K189" t="s">
        <v>290</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row>
    <row r="190" spans="1:110" s="1" customFormat="1" ht="19.5" customHeight="1">
      <c r="A190" s="75" t="s">
        <v>26</v>
      </c>
      <c r="B190" s="13"/>
      <c r="C190" s="13" t="s">
        <v>64</v>
      </c>
      <c r="D190" s="699">
        <v>190</v>
      </c>
      <c r="E190" s="167">
        <v>1</v>
      </c>
      <c r="F190" s="168">
        <f>E190*D190</f>
        <v>190</v>
      </c>
      <c r="G190" s="228">
        <f>F190</f>
        <v>190</v>
      </c>
      <c r="H190" s="151" t="s">
        <v>362</v>
      </c>
      <c r="J190" s="205" t="s">
        <v>278</v>
      </c>
      <c r="K190" s="11">
        <v>1</v>
      </c>
      <c r="L190" s="11">
        <v>2</v>
      </c>
      <c r="M190" s="11">
        <v>3</v>
      </c>
      <c r="N190" s="11">
        <v>4</v>
      </c>
      <c r="O190" s="11">
        <v>5</v>
      </c>
      <c r="P190" s="11">
        <v>6</v>
      </c>
      <c r="Q190" s="11">
        <v>7</v>
      </c>
      <c r="R190" s="11">
        <v>8</v>
      </c>
      <c r="S190" s="11">
        <v>9</v>
      </c>
      <c r="T190" s="11">
        <v>10</v>
      </c>
      <c r="U190" s="11">
        <v>11</v>
      </c>
      <c r="V190" s="11">
        <v>12</v>
      </c>
      <c r="W190" s="11">
        <v>13</v>
      </c>
      <c r="X190" s="11">
        <v>14</v>
      </c>
      <c r="Y190" s="11">
        <v>15</v>
      </c>
      <c r="Z190" s="179">
        <v>16</v>
      </c>
      <c r="AA190" s="179">
        <v>17</v>
      </c>
      <c r="AB190" s="179">
        <v>18</v>
      </c>
      <c r="AC190" s="179">
        <v>19</v>
      </c>
      <c r="AD190" s="179">
        <v>20</v>
      </c>
      <c r="AE190" s="179">
        <v>21</v>
      </c>
      <c r="AF190" s="179">
        <v>22</v>
      </c>
      <c r="AG190" s="179">
        <v>23</v>
      </c>
      <c r="AH190" s="179">
        <v>24</v>
      </c>
      <c r="AI190" s="179">
        <v>25</v>
      </c>
      <c r="AJ190" s="179">
        <v>26</v>
      </c>
      <c r="AK190" s="179">
        <v>27</v>
      </c>
      <c r="AL190" s="179">
        <v>28</v>
      </c>
      <c r="AM190" s="179">
        <v>29</v>
      </c>
      <c r="AN190" s="179">
        <v>30</v>
      </c>
      <c r="AO190" s="179">
        <v>31</v>
      </c>
      <c r="AP190" s="179">
        <v>32</v>
      </c>
      <c r="AQ190" s="179">
        <v>33</v>
      </c>
      <c r="AR190" s="179">
        <v>34</v>
      </c>
      <c r="AS190" s="179">
        <v>35</v>
      </c>
      <c r="AT190" s="179">
        <v>36</v>
      </c>
      <c r="AU190" s="179">
        <v>37</v>
      </c>
      <c r="AV190" s="179">
        <v>38</v>
      </c>
      <c r="AW190" s="179">
        <v>39</v>
      </c>
      <c r="AX190" s="179">
        <v>40</v>
      </c>
      <c r="AY190" s="179">
        <v>41</v>
      </c>
      <c r="AZ190" s="179">
        <v>42</v>
      </c>
      <c r="BA190" s="179">
        <v>43</v>
      </c>
      <c r="BB190" s="179">
        <v>44</v>
      </c>
      <c r="BC190" s="179">
        <v>45</v>
      </c>
      <c r="BD190" s="179">
        <v>46</v>
      </c>
      <c r="BE190" s="179">
        <v>47</v>
      </c>
      <c r="BF190" s="179">
        <v>48</v>
      </c>
      <c r="BG190" s="179">
        <v>49</v>
      </c>
      <c r="BH190" s="179">
        <v>50</v>
      </c>
      <c r="BI190" s="179">
        <v>51</v>
      </c>
      <c r="BJ190" s="179">
        <v>52</v>
      </c>
      <c r="BK190" s="179">
        <v>53</v>
      </c>
      <c r="BL190" s="179">
        <v>54</v>
      </c>
      <c r="BM190" s="179">
        <v>55</v>
      </c>
      <c r="BN190" s="179">
        <v>56</v>
      </c>
      <c r="BO190" s="179">
        <v>57</v>
      </c>
      <c r="BP190" s="179">
        <v>58</v>
      </c>
      <c r="BQ190" s="179">
        <v>59</v>
      </c>
      <c r="BR190" s="179">
        <v>60</v>
      </c>
      <c r="BS190" s="179">
        <v>61</v>
      </c>
      <c r="BT190" s="179">
        <v>62</v>
      </c>
      <c r="BU190" s="179">
        <v>63</v>
      </c>
      <c r="BV190" s="179">
        <v>64</v>
      </c>
      <c r="BW190" s="179">
        <v>65</v>
      </c>
      <c r="BX190" s="179">
        <v>66</v>
      </c>
      <c r="BY190" s="179">
        <v>67</v>
      </c>
      <c r="BZ190" s="179">
        <v>68</v>
      </c>
      <c r="CA190" s="179">
        <v>69</v>
      </c>
      <c r="CB190" s="179">
        <v>70</v>
      </c>
      <c r="CC190" s="179">
        <v>71</v>
      </c>
      <c r="CD190" s="179">
        <v>72</v>
      </c>
      <c r="CE190" s="179">
        <v>73</v>
      </c>
      <c r="CF190" s="179">
        <v>74</v>
      </c>
      <c r="CG190" s="179">
        <v>75</v>
      </c>
      <c r="CH190" s="179">
        <v>76</v>
      </c>
      <c r="CI190" s="179">
        <v>77</v>
      </c>
      <c r="CJ190" s="179">
        <v>78</v>
      </c>
      <c r="CK190" s="179">
        <v>79</v>
      </c>
      <c r="CL190" s="179">
        <v>80</v>
      </c>
      <c r="CM190" s="179">
        <v>81</v>
      </c>
      <c r="CN190" s="179">
        <v>82</v>
      </c>
      <c r="CO190" s="179">
        <v>83</v>
      </c>
      <c r="CP190" s="179">
        <v>84</v>
      </c>
      <c r="CQ190" s="179">
        <v>85</v>
      </c>
      <c r="CR190" s="179">
        <v>86</v>
      </c>
      <c r="CS190" s="179">
        <v>87</v>
      </c>
      <c r="CT190" s="179">
        <v>88</v>
      </c>
      <c r="CU190" s="179">
        <v>89</v>
      </c>
      <c r="CV190" s="179">
        <v>90</v>
      </c>
      <c r="CW190" s="179">
        <v>91</v>
      </c>
      <c r="CX190" s="179">
        <v>92</v>
      </c>
      <c r="CY190" s="179">
        <v>93</v>
      </c>
      <c r="CZ190" s="179">
        <v>94</v>
      </c>
      <c r="DA190" s="179">
        <v>95</v>
      </c>
      <c r="DB190" s="179">
        <v>96</v>
      </c>
      <c r="DC190" s="179">
        <v>97</v>
      </c>
      <c r="DD190" s="179">
        <v>98</v>
      </c>
      <c r="DE190" s="179">
        <v>99</v>
      </c>
      <c r="DF190" s="179">
        <v>100</v>
      </c>
    </row>
    <row r="191" spans="1:110" s="1" customFormat="1" ht="19.5" customHeight="1">
      <c r="A191" s="87" t="s">
        <v>182</v>
      </c>
      <c r="B191" s="88"/>
      <c r="C191" s="88"/>
      <c r="D191" s="89"/>
      <c r="E191" s="88"/>
      <c r="F191" s="89">
        <f>SUM(F187:F190)</f>
        <v>1109</v>
      </c>
      <c r="G191" s="232">
        <f>SUM(G187:G190)</f>
        <v>1109</v>
      </c>
      <c r="H191" s="154"/>
      <c r="J191" s="13" t="s">
        <v>279</v>
      </c>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row>
    <row r="192" spans="1:110" s="1" customFormat="1" ht="19.5" customHeight="1">
      <c r="A192" s="75"/>
      <c r="B192" s="34"/>
      <c r="C192" s="34"/>
      <c r="D192" s="34"/>
      <c r="E192" s="34"/>
      <c r="F192" s="174"/>
      <c r="G192" s="233"/>
      <c r="H192" s="151"/>
      <c r="J192" s="13" t="s">
        <v>283</v>
      </c>
      <c r="K192" s="168">
        <f>F179</f>
        <v>0</v>
      </c>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row>
    <row r="193" spans="1:110" s="1" customFormat="1" ht="19.5" customHeight="1">
      <c r="A193" s="642" t="s">
        <v>365</v>
      </c>
      <c r="B193" s="642"/>
      <c r="C193" s="643"/>
      <c r="D193" s="643"/>
      <c r="E193" s="643"/>
      <c r="F193" s="644"/>
      <c r="G193" s="644"/>
      <c r="H193" s="689"/>
      <c r="J193" s="13" t="s">
        <v>284</v>
      </c>
      <c r="K193" s="13">
        <v>0</v>
      </c>
      <c r="L193" s="168">
        <f aca="true" t="shared" si="56" ref="L193:AQ193">IF(L190=($B$180+1),$F$180,IF(L190&lt;=$B$180,$F$180,0))</f>
        <v>0</v>
      </c>
      <c r="M193" s="168">
        <f t="shared" si="56"/>
        <v>0</v>
      </c>
      <c r="N193" s="168">
        <f t="shared" si="56"/>
        <v>0</v>
      </c>
      <c r="O193" s="168">
        <f t="shared" si="56"/>
        <v>0</v>
      </c>
      <c r="P193" s="168">
        <f t="shared" si="56"/>
        <v>0</v>
      </c>
      <c r="Q193" s="168">
        <f t="shared" si="56"/>
        <v>0</v>
      </c>
      <c r="R193" s="168">
        <f t="shared" si="56"/>
        <v>0</v>
      </c>
      <c r="S193" s="168">
        <f t="shared" si="56"/>
        <v>0</v>
      </c>
      <c r="T193" s="168">
        <f t="shared" si="56"/>
        <v>0</v>
      </c>
      <c r="U193" s="168">
        <f t="shared" si="56"/>
        <v>0</v>
      </c>
      <c r="V193" s="168">
        <f t="shared" si="56"/>
        <v>0</v>
      </c>
      <c r="W193" s="168">
        <f t="shared" si="56"/>
        <v>0</v>
      </c>
      <c r="X193" s="168">
        <f t="shared" si="56"/>
        <v>0</v>
      </c>
      <c r="Y193" s="168">
        <f t="shared" si="56"/>
        <v>0</v>
      </c>
      <c r="Z193" s="168">
        <f t="shared" si="56"/>
        <v>0</v>
      </c>
      <c r="AA193" s="168">
        <f t="shared" si="56"/>
        <v>0</v>
      </c>
      <c r="AB193" s="168">
        <f t="shared" si="56"/>
        <v>0</v>
      </c>
      <c r="AC193" s="168">
        <f t="shared" si="56"/>
        <v>0</v>
      </c>
      <c r="AD193" s="168">
        <f t="shared" si="56"/>
        <v>0</v>
      </c>
      <c r="AE193" s="168">
        <f t="shared" si="56"/>
        <v>0</v>
      </c>
      <c r="AF193" s="168">
        <f t="shared" si="56"/>
        <v>0</v>
      </c>
      <c r="AG193" s="168">
        <f t="shared" si="56"/>
        <v>0</v>
      </c>
      <c r="AH193" s="168">
        <f t="shared" si="56"/>
        <v>0</v>
      </c>
      <c r="AI193" s="168">
        <f t="shared" si="56"/>
        <v>0</v>
      </c>
      <c r="AJ193" s="168">
        <f t="shared" si="56"/>
        <v>0</v>
      </c>
      <c r="AK193" s="168">
        <f t="shared" si="56"/>
        <v>0</v>
      </c>
      <c r="AL193" s="168">
        <f t="shared" si="56"/>
        <v>0</v>
      </c>
      <c r="AM193" s="168">
        <f t="shared" si="56"/>
        <v>0</v>
      </c>
      <c r="AN193" s="168">
        <f t="shared" si="56"/>
        <v>0</v>
      </c>
      <c r="AO193" s="168">
        <f t="shared" si="56"/>
        <v>0</v>
      </c>
      <c r="AP193" s="168">
        <f t="shared" si="56"/>
        <v>0</v>
      </c>
      <c r="AQ193" s="168">
        <f t="shared" si="56"/>
        <v>0</v>
      </c>
      <c r="AR193" s="168">
        <f aca="true" t="shared" si="57" ref="AR193:BX193">IF(AR190=($B$180+1),$F$180,IF(AR190&lt;=$B$180,$F$180,0))</f>
        <v>0</v>
      </c>
      <c r="AS193" s="168">
        <f t="shared" si="57"/>
        <v>0</v>
      </c>
      <c r="AT193" s="168">
        <f t="shared" si="57"/>
        <v>0</v>
      </c>
      <c r="AU193" s="168">
        <f t="shared" si="57"/>
        <v>0</v>
      </c>
      <c r="AV193" s="168">
        <f t="shared" si="57"/>
        <v>0</v>
      </c>
      <c r="AW193" s="168">
        <f t="shared" si="57"/>
        <v>0</v>
      </c>
      <c r="AX193" s="168">
        <f t="shared" si="57"/>
        <v>0</v>
      </c>
      <c r="AY193" s="168">
        <f t="shared" si="57"/>
        <v>0</v>
      </c>
      <c r="AZ193" s="168">
        <f t="shared" si="57"/>
        <v>0</v>
      </c>
      <c r="BA193" s="168">
        <f t="shared" si="57"/>
        <v>0</v>
      </c>
      <c r="BB193" s="168">
        <f t="shared" si="57"/>
        <v>0</v>
      </c>
      <c r="BC193" s="168">
        <f t="shared" si="57"/>
        <v>0</v>
      </c>
      <c r="BD193" s="168">
        <f t="shared" si="57"/>
        <v>0</v>
      </c>
      <c r="BE193" s="168">
        <f t="shared" si="57"/>
        <v>0</v>
      </c>
      <c r="BF193" s="168">
        <f t="shared" si="57"/>
        <v>0</v>
      </c>
      <c r="BG193" s="168">
        <f t="shared" si="57"/>
        <v>0</v>
      </c>
      <c r="BH193" s="168">
        <f t="shared" si="57"/>
        <v>0</v>
      </c>
      <c r="BI193" s="168">
        <f t="shared" si="57"/>
        <v>0</v>
      </c>
      <c r="BJ193" s="168">
        <f t="shared" si="57"/>
        <v>0</v>
      </c>
      <c r="BK193" s="168">
        <f t="shared" si="57"/>
        <v>0</v>
      </c>
      <c r="BL193" s="168">
        <f t="shared" si="57"/>
        <v>0</v>
      </c>
      <c r="BM193" s="168">
        <f t="shared" si="57"/>
        <v>0</v>
      </c>
      <c r="BN193" s="168">
        <f t="shared" si="57"/>
        <v>0</v>
      </c>
      <c r="BO193" s="168">
        <f t="shared" si="57"/>
        <v>0</v>
      </c>
      <c r="BP193" s="168">
        <f t="shared" si="57"/>
        <v>0</v>
      </c>
      <c r="BQ193" s="168">
        <f t="shared" si="57"/>
        <v>0</v>
      </c>
      <c r="BR193" s="168">
        <f t="shared" si="57"/>
        <v>0</v>
      </c>
      <c r="BS193" s="168">
        <f t="shared" si="57"/>
        <v>0</v>
      </c>
      <c r="BT193" s="168">
        <f t="shared" si="57"/>
        <v>0</v>
      </c>
      <c r="BU193" s="168">
        <f t="shared" si="57"/>
        <v>0</v>
      </c>
      <c r="BV193" s="168">
        <f t="shared" si="57"/>
        <v>0</v>
      </c>
      <c r="BW193" s="168">
        <f t="shared" si="57"/>
        <v>0</v>
      </c>
      <c r="BX193" s="168">
        <f t="shared" si="57"/>
        <v>0</v>
      </c>
      <c r="BY193" s="168">
        <f aca="true" t="shared" si="58" ref="BY193:DF193">IF(BY190=($B$180+1),$F$180,IF(BY190&lt;=$B$180,$F$180,0))</f>
        <v>0</v>
      </c>
      <c r="BZ193" s="168">
        <f t="shared" si="58"/>
        <v>0</v>
      </c>
      <c r="CA193" s="168">
        <f t="shared" si="58"/>
        <v>0</v>
      </c>
      <c r="CB193" s="168">
        <f t="shared" si="58"/>
        <v>0</v>
      </c>
      <c r="CC193" s="168">
        <f t="shared" si="58"/>
        <v>0</v>
      </c>
      <c r="CD193" s="168">
        <f t="shared" si="58"/>
        <v>0</v>
      </c>
      <c r="CE193" s="168">
        <f t="shared" si="58"/>
        <v>0</v>
      </c>
      <c r="CF193" s="168">
        <f t="shared" si="58"/>
        <v>0</v>
      </c>
      <c r="CG193" s="168">
        <f t="shared" si="58"/>
        <v>0</v>
      </c>
      <c r="CH193" s="168">
        <f t="shared" si="58"/>
        <v>0</v>
      </c>
      <c r="CI193" s="168">
        <f t="shared" si="58"/>
        <v>0</v>
      </c>
      <c r="CJ193" s="168">
        <f t="shared" si="58"/>
        <v>0</v>
      </c>
      <c r="CK193" s="168">
        <f t="shared" si="58"/>
        <v>0</v>
      </c>
      <c r="CL193" s="168">
        <f t="shared" si="58"/>
        <v>0</v>
      </c>
      <c r="CM193" s="168">
        <f t="shared" si="58"/>
        <v>0</v>
      </c>
      <c r="CN193" s="168">
        <f t="shared" si="58"/>
        <v>0</v>
      </c>
      <c r="CO193" s="168">
        <f t="shared" si="58"/>
        <v>0</v>
      </c>
      <c r="CP193" s="168">
        <f t="shared" si="58"/>
        <v>0</v>
      </c>
      <c r="CQ193" s="168">
        <f t="shared" si="58"/>
        <v>0</v>
      </c>
      <c r="CR193" s="168">
        <f t="shared" si="58"/>
        <v>0</v>
      </c>
      <c r="CS193" s="168">
        <f t="shared" si="58"/>
        <v>0</v>
      </c>
      <c r="CT193" s="168">
        <f t="shared" si="58"/>
        <v>0</v>
      </c>
      <c r="CU193" s="168">
        <f t="shared" si="58"/>
        <v>0</v>
      </c>
      <c r="CV193" s="168">
        <f t="shared" si="58"/>
        <v>0</v>
      </c>
      <c r="CW193" s="168">
        <f t="shared" si="58"/>
        <v>0</v>
      </c>
      <c r="CX193" s="168">
        <f t="shared" si="58"/>
        <v>0</v>
      </c>
      <c r="CY193" s="168">
        <f t="shared" si="58"/>
        <v>0</v>
      </c>
      <c r="CZ193" s="168">
        <f t="shared" si="58"/>
        <v>0</v>
      </c>
      <c r="DA193" s="168">
        <f t="shared" si="58"/>
        <v>0</v>
      </c>
      <c r="DB193" s="168">
        <f t="shared" si="58"/>
        <v>0</v>
      </c>
      <c r="DC193" s="168">
        <f t="shared" si="58"/>
        <v>0</v>
      </c>
      <c r="DD193" s="168">
        <f t="shared" si="58"/>
        <v>0</v>
      </c>
      <c r="DE193" s="168">
        <f t="shared" si="58"/>
        <v>0</v>
      </c>
      <c r="DF193" s="168">
        <f t="shared" si="58"/>
        <v>0</v>
      </c>
    </row>
    <row r="194" spans="1:110" s="1" customFormat="1" ht="30" customHeight="1">
      <c r="A194" s="13" t="s">
        <v>26</v>
      </c>
      <c r="B194" s="13"/>
      <c r="C194" s="13" t="s">
        <v>64</v>
      </c>
      <c r="D194" s="481">
        <f>'Farm &amp; Buffer Assumptions'!C78*Prices!C35</f>
        <v>16</v>
      </c>
      <c r="E194" s="167">
        <v>1</v>
      </c>
      <c r="F194" s="168">
        <f>D194*E194</f>
        <v>16</v>
      </c>
      <c r="G194" s="228">
        <f>F194/'Farm &amp; Buffer Assumptions'!C74</f>
        <v>400</v>
      </c>
      <c r="H194" s="151" t="s">
        <v>361</v>
      </c>
      <c r="J194" s="13" t="s">
        <v>285</v>
      </c>
      <c r="K194" s="168">
        <f aca="true" t="shared" si="59" ref="K194:AP194">IF(K190&lt;=$B$181,$F$181,0)</f>
        <v>0</v>
      </c>
      <c r="L194" s="168">
        <f t="shared" si="59"/>
        <v>0</v>
      </c>
      <c r="M194" s="168">
        <f t="shared" si="59"/>
        <v>0</v>
      </c>
      <c r="N194" s="168">
        <f t="shared" si="59"/>
        <v>0</v>
      </c>
      <c r="O194" s="168">
        <f t="shared" si="59"/>
        <v>0</v>
      </c>
      <c r="P194" s="168">
        <f t="shared" si="59"/>
        <v>0</v>
      </c>
      <c r="Q194" s="168">
        <f t="shared" si="59"/>
        <v>0</v>
      </c>
      <c r="R194" s="168">
        <f t="shared" si="59"/>
        <v>0</v>
      </c>
      <c r="S194" s="168">
        <f t="shared" si="59"/>
        <v>0</v>
      </c>
      <c r="T194" s="168">
        <f t="shared" si="59"/>
        <v>0</v>
      </c>
      <c r="U194" s="168">
        <f t="shared" si="59"/>
        <v>0</v>
      </c>
      <c r="V194" s="168">
        <f t="shared" si="59"/>
        <v>0</v>
      </c>
      <c r="W194" s="168">
        <f t="shared" si="59"/>
        <v>0</v>
      </c>
      <c r="X194" s="168">
        <f t="shared" si="59"/>
        <v>0</v>
      </c>
      <c r="Y194" s="168">
        <f t="shared" si="59"/>
        <v>0</v>
      </c>
      <c r="Z194" s="168">
        <f t="shared" si="59"/>
        <v>0</v>
      </c>
      <c r="AA194" s="168">
        <f t="shared" si="59"/>
        <v>0</v>
      </c>
      <c r="AB194" s="168">
        <f t="shared" si="59"/>
        <v>0</v>
      </c>
      <c r="AC194" s="168">
        <f t="shared" si="59"/>
        <v>0</v>
      </c>
      <c r="AD194" s="168">
        <f t="shared" si="59"/>
        <v>0</v>
      </c>
      <c r="AE194" s="168">
        <f t="shared" si="59"/>
        <v>0</v>
      </c>
      <c r="AF194" s="168">
        <f t="shared" si="59"/>
        <v>0</v>
      </c>
      <c r="AG194" s="168">
        <f t="shared" si="59"/>
        <v>0</v>
      </c>
      <c r="AH194" s="168">
        <f t="shared" si="59"/>
        <v>0</v>
      </c>
      <c r="AI194" s="168">
        <f t="shared" si="59"/>
        <v>0</v>
      </c>
      <c r="AJ194" s="168">
        <f t="shared" si="59"/>
        <v>0</v>
      </c>
      <c r="AK194" s="168">
        <f t="shared" si="59"/>
        <v>0</v>
      </c>
      <c r="AL194" s="168">
        <f t="shared" si="59"/>
        <v>0</v>
      </c>
      <c r="AM194" s="168">
        <f t="shared" si="59"/>
        <v>0</v>
      </c>
      <c r="AN194" s="168">
        <f t="shared" si="59"/>
        <v>0</v>
      </c>
      <c r="AO194" s="168">
        <f t="shared" si="59"/>
        <v>0</v>
      </c>
      <c r="AP194" s="168">
        <f t="shared" si="59"/>
        <v>0</v>
      </c>
      <c r="AQ194" s="168">
        <f aca="true" t="shared" si="60" ref="AQ194:BW194">IF(AQ190&lt;=$B$181,$F$181,0)</f>
        <v>0</v>
      </c>
      <c r="AR194" s="168">
        <f t="shared" si="60"/>
        <v>0</v>
      </c>
      <c r="AS194" s="168">
        <f t="shared" si="60"/>
        <v>0</v>
      </c>
      <c r="AT194" s="168">
        <f t="shared" si="60"/>
        <v>0</v>
      </c>
      <c r="AU194" s="168">
        <f t="shared" si="60"/>
        <v>0</v>
      </c>
      <c r="AV194" s="168">
        <f t="shared" si="60"/>
        <v>0</v>
      </c>
      <c r="AW194" s="168">
        <f t="shared" si="60"/>
        <v>0</v>
      </c>
      <c r="AX194" s="168">
        <f t="shared" si="60"/>
        <v>0</v>
      </c>
      <c r="AY194" s="168">
        <f t="shared" si="60"/>
        <v>0</v>
      </c>
      <c r="AZ194" s="168">
        <f t="shared" si="60"/>
        <v>0</v>
      </c>
      <c r="BA194" s="168">
        <f t="shared" si="60"/>
        <v>0</v>
      </c>
      <c r="BB194" s="168">
        <f t="shared" si="60"/>
        <v>0</v>
      </c>
      <c r="BC194" s="168">
        <f t="shared" si="60"/>
        <v>0</v>
      </c>
      <c r="BD194" s="168">
        <f t="shared" si="60"/>
        <v>0</v>
      </c>
      <c r="BE194" s="168">
        <f t="shared" si="60"/>
        <v>0</v>
      </c>
      <c r="BF194" s="168">
        <f t="shared" si="60"/>
        <v>0</v>
      </c>
      <c r="BG194" s="168">
        <f t="shared" si="60"/>
        <v>0</v>
      </c>
      <c r="BH194" s="168">
        <f t="shared" si="60"/>
        <v>0</v>
      </c>
      <c r="BI194" s="168">
        <f t="shared" si="60"/>
        <v>0</v>
      </c>
      <c r="BJ194" s="168">
        <f t="shared" si="60"/>
        <v>0</v>
      </c>
      <c r="BK194" s="168">
        <f t="shared" si="60"/>
        <v>0</v>
      </c>
      <c r="BL194" s="168">
        <f t="shared" si="60"/>
        <v>0</v>
      </c>
      <c r="BM194" s="168">
        <f t="shared" si="60"/>
        <v>0</v>
      </c>
      <c r="BN194" s="168">
        <f t="shared" si="60"/>
        <v>0</v>
      </c>
      <c r="BO194" s="168">
        <f t="shared" si="60"/>
        <v>0</v>
      </c>
      <c r="BP194" s="168">
        <f t="shared" si="60"/>
        <v>0</v>
      </c>
      <c r="BQ194" s="168">
        <f t="shared" si="60"/>
        <v>0</v>
      </c>
      <c r="BR194" s="168">
        <f t="shared" si="60"/>
        <v>0</v>
      </c>
      <c r="BS194" s="168">
        <f t="shared" si="60"/>
        <v>0</v>
      </c>
      <c r="BT194" s="168">
        <f t="shared" si="60"/>
        <v>0</v>
      </c>
      <c r="BU194" s="168">
        <f t="shared" si="60"/>
        <v>0</v>
      </c>
      <c r="BV194" s="168">
        <f t="shared" si="60"/>
        <v>0</v>
      </c>
      <c r="BW194" s="168">
        <f t="shared" si="60"/>
        <v>0</v>
      </c>
      <c r="BX194" s="168">
        <f aca="true" t="shared" si="61" ref="BX194:DF194">IF(BX190&lt;=$B$181,$F$181,0)</f>
        <v>0</v>
      </c>
      <c r="BY194" s="168">
        <f t="shared" si="61"/>
        <v>0</v>
      </c>
      <c r="BZ194" s="168">
        <f t="shared" si="61"/>
        <v>0</v>
      </c>
      <c r="CA194" s="168">
        <f t="shared" si="61"/>
        <v>0</v>
      </c>
      <c r="CB194" s="168">
        <f t="shared" si="61"/>
        <v>0</v>
      </c>
      <c r="CC194" s="168">
        <f t="shared" si="61"/>
        <v>0</v>
      </c>
      <c r="CD194" s="168">
        <f t="shared" si="61"/>
        <v>0</v>
      </c>
      <c r="CE194" s="168">
        <f t="shared" si="61"/>
        <v>0</v>
      </c>
      <c r="CF194" s="168">
        <f t="shared" si="61"/>
        <v>0</v>
      </c>
      <c r="CG194" s="168">
        <f t="shared" si="61"/>
        <v>0</v>
      </c>
      <c r="CH194" s="168">
        <f t="shared" si="61"/>
        <v>0</v>
      </c>
      <c r="CI194" s="168">
        <f t="shared" si="61"/>
        <v>0</v>
      </c>
      <c r="CJ194" s="168">
        <f t="shared" si="61"/>
        <v>0</v>
      </c>
      <c r="CK194" s="168">
        <f t="shared" si="61"/>
        <v>0</v>
      </c>
      <c r="CL194" s="168">
        <f t="shared" si="61"/>
        <v>0</v>
      </c>
      <c r="CM194" s="168">
        <f t="shared" si="61"/>
        <v>0</v>
      </c>
      <c r="CN194" s="168">
        <f t="shared" si="61"/>
        <v>0</v>
      </c>
      <c r="CO194" s="168">
        <f t="shared" si="61"/>
        <v>0</v>
      </c>
      <c r="CP194" s="168">
        <f t="shared" si="61"/>
        <v>0</v>
      </c>
      <c r="CQ194" s="168">
        <f t="shared" si="61"/>
        <v>0</v>
      </c>
      <c r="CR194" s="168">
        <f t="shared" si="61"/>
        <v>0</v>
      </c>
      <c r="CS194" s="168">
        <f t="shared" si="61"/>
        <v>0</v>
      </c>
      <c r="CT194" s="168">
        <f t="shared" si="61"/>
        <v>0</v>
      </c>
      <c r="CU194" s="168">
        <f t="shared" si="61"/>
        <v>0</v>
      </c>
      <c r="CV194" s="168">
        <f t="shared" si="61"/>
        <v>0</v>
      </c>
      <c r="CW194" s="168">
        <f t="shared" si="61"/>
        <v>0</v>
      </c>
      <c r="CX194" s="168">
        <f t="shared" si="61"/>
        <v>0</v>
      </c>
      <c r="CY194" s="168">
        <f t="shared" si="61"/>
        <v>0</v>
      </c>
      <c r="CZ194" s="168">
        <f t="shared" si="61"/>
        <v>0</v>
      </c>
      <c r="DA194" s="168">
        <f t="shared" si="61"/>
        <v>0</v>
      </c>
      <c r="DB194" s="168">
        <f t="shared" si="61"/>
        <v>0</v>
      </c>
      <c r="DC194" s="168">
        <f t="shared" si="61"/>
        <v>0</v>
      </c>
      <c r="DD194" s="168">
        <f t="shared" si="61"/>
        <v>0</v>
      </c>
      <c r="DE194" s="168">
        <f t="shared" si="61"/>
        <v>0</v>
      </c>
      <c r="DF194" s="168">
        <f t="shared" si="61"/>
        <v>0</v>
      </c>
    </row>
    <row r="195" spans="1:110" s="1" customFormat="1" ht="29.25" customHeight="1">
      <c r="A195" s="13" t="s">
        <v>215</v>
      </c>
      <c r="B195" s="13"/>
      <c r="C195" s="13" t="s">
        <v>64</v>
      </c>
      <c r="D195" s="173">
        <f>Prices!C47</f>
        <v>170</v>
      </c>
      <c r="E195" s="167">
        <v>1</v>
      </c>
      <c r="F195" s="168">
        <f>E195*D195</f>
        <v>170</v>
      </c>
      <c r="G195" s="228">
        <f>F195/'Farm &amp; Buffer Assumptions'!$C$74</f>
        <v>4250</v>
      </c>
      <c r="H195" s="151" t="s">
        <v>313</v>
      </c>
      <c r="J195" s="13" t="s">
        <v>286</v>
      </c>
      <c r="K195" s="168">
        <f>F182</f>
        <v>0</v>
      </c>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row>
    <row r="196" spans="1:110" s="1" customFormat="1" ht="33" customHeight="1">
      <c r="A196" s="13" t="s">
        <v>213</v>
      </c>
      <c r="B196" s="13"/>
      <c r="C196" s="13" t="s">
        <v>64</v>
      </c>
      <c r="D196" s="481">
        <f>Prices!C36</f>
        <v>30</v>
      </c>
      <c r="E196" s="167">
        <v>1</v>
      </c>
      <c r="F196" s="648">
        <f>E196*D196</f>
        <v>30</v>
      </c>
      <c r="G196" s="228">
        <f>(F196/((1+'Farm &amp; Buffer Assumptions'!C74)^'Farm &amp; Buffer Assumptions'!C77-1))</f>
        <v>176.61753402360154</v>
      </c>
      <c r="H196" s="151" t="s">
        <v>309</v>
      </c>
      <c r="J196" s="13" t="s">
        <v>308</v>
      </c>
      <c r="K196" s="168">
        <f aca="true" t="shared" si="62" ref="K196:AP196">$F$183</f>
        <v>313.5</v>
      </c>
      <c r="L196" s="168">
        <f t="shared" si="62"/>
        <v>313.5</v>
      </c>
      <c r="M196" s="168">
        <f t="shared" si="62"/>
        <v>313.5</v>
      </c>
      <c r="N196" s="168">
        <f t="shared" si="62"/>
        <v>313.5</v>
      </c>
      <c r="O196" s="168">
        <f t="shared" si="62"/>
        <v>313.5</v>
      </c>
      <c r="P196" s="168">
        <f t="shared" si="62"/>
        <v>313.5</v>
      </c>
      <c r="Q196" s="168">
        <f t="shared" si="62"/>
        <v>313.5</v>
      </c>
      <c r="R196" s="168">
        <f t="shared" si="62"/>
        <v>313.5</v>
      </c>
      <c r="S196" s="168">
        <f t="shared" si="62"/>
        <v>313.5</v>
      </c>
      <c r="T196" s="168">
        <f t="shared" si="62"/>
        <v>313.5</v>
      </c>
      <c r="U196" s="168">
        <f t="shared" si="62"/>
        <v>313.5</v>
      </c>
      <c r="V196" s="168">
        <f t="shared" si="62"/>
        <v>313.5</v>
      </c>
      <c r="W196" s="168">
        <f t="shared" si="62"/>
        <v>313.5</v>
      </c>
      <c r="X196" s="168">
        <f t="shared" si="62"/>
        <v>313.5</v>
      </c>
      <c r="Y196" s="168">
        <f t="shared" si="62"/>
        <v>313.5</v>
      </c>
      <c r="Z196" s="168">
        <f t="shared" si="62"/>
        <v>313.5</v>
      </c>
      <c r="AA196" s="168">
        <f t="shared" si="62"/>
        <v>313.5</v>
      </c>
      <c r="AB196" s="168">
        <f t="shared" si="62"/>
        <v>313.5</v>
      </c>
      <c r="AC196" s="168">
        <f t="shared" si="62"/>
        <v>313.5</v>
      </c>
      <c r="AD196" s="168">
        <f t="shared" si="62"/>
        <v>313.5</v>
      </c>
      <c r="AE196" s="168">
        <f t="shared" si="62"/>
        <v>313.5</v>
      </c>
      <c r="AF196" s="168">
        <f t="shared" si="62"/>
        <v>313.5</v>
      </c>
      <c r="AG196" s="168">
        <f t="shared" si="62"/>
        <v>313.5</v>
      </c>
      <c r="AH196" s="168">
        <f t="shared" si="62"/>
        <v>313.5</v>
      </c>
      <c r="AI196" s="168">
        <f t="shared" si="62"/>
        <v>313.5</v>
      </c>
      <c r="AJ196" s="168">
        <f t="shared" si="62"/>
        <v>313.5</v>
      </c>
      <c r="AK196" s="168">
        <f t="shared" si="62"/>
        <v>313.5</v>
      </c>
      <c r="AL196" s="168">
        <f t="shared" si="62"/>
        <v>313.5</v>
      </c>
      <c r="AM196" s="168">
        <f t="shared" si="62"/>
        <v>313.5</v>
      </c>
      <c r="AN196" s="168">
        <f t="shared" si="62"/>
        <v>313.5</v>
      </c>
      <c r="AO196" s="168">
        <f t="shared" si="62"/>
        <v>313.5</v>
      </c>
      <c r="AP196" s="168">
        <f t="shared" si="62"/>
        <v>313.5</v>
      </c>
      <c r="AQ196" s="168">
        <f aca="true" t="shared" si="63" ref="AQ196:BV196">$F$183</f>
        <v>313.5</v>
      </c>
      <c r="AR196" s="168">
        <f t="shared" si="63"/>
        <v>313.5</v>
      </c>
      <c r="AS196" s="168">
        <f t="shared" si="63"/>
        <v>313.5</v>
      </c>
      <c r="AT196" s="168">
        <f t="shared" si="63"/>
        <v>313.5</v>
      </c>
      <c r="AU196" s="168">
        <f t="shared" si="63"/>
        <v>313.5</v>
      </c>
      <c r="AV196" s="168">
        <f t="shared" si="63"/>
        <v>313.5</v>
      </c>
      <c r="AW196" s="168">
        <f t="shared" si="63"/>
        <v>313.5</v>
      </c>
      <c r="AX196" s="168">
        <f t="shared" si="63"/>
        <v>313.5</v>
      </c>
      <c r="AY196" s="168">
        <f t="shared" si="63"/>
        <v>313.5</v>
      </c>
      <c r="AZ196" s="168">
        <f t="shared" si="63"/>
        <v>313.5</v>
      </c>
      <c r="BA196" s="168">
        <f t="shared" si="63"/>
        <v>313.5</v>
      </c>
      <c r="BB196" s="168">
        <f t="shared" si="63"/>
        <v>313.5</v>
      </c>
      <c r="BC196" s="168">
        <f t="shared" si="63"/>
        <v>313.5</v>
      </c>
      <c r="BD196" s="168">
        <f t="shared" si="63"/>
        <v>313.5</v>
      </c>
      <c r="BE196" s="168">
        <f t="shared" si="63"/>
        <v>313.5</v>
      </c>
      <c r="BF196" s="168">
        <f t="shared" si="63"/>
        <v>313.5</v>
      </c>
      <c r="BG196" s="168">
        <f t="shared" si="63"/>
        <v>313.5</v>
      </c>
      <c r="BH196" s="168">
        <f t="shared" si="63"/>
        <v>313.5</v>
      </c>
      <c r="BI196" s="168">
        <f t="shared" si="63"/>
        <v>313.5</v>
      </c>
      <c r="BJ196" s="168">
        <f t="shared" si="63"/>
        <v>313.5</v>
      </c>
      <c r="BK196" s="168">
        <f t="shared" si="63"/>
        <v>313.5</v>
      </c>
      <c r="BL196" s="168">
        <f t="shared" si="63"/>
        <v>313.5</v>
      </c>
      <c r="BM196" s="168">
        <f t="shared" si="63"/>
        <v>313.5</v>
      </c>
      <c r="BN196" s="168">
        <f t="shared" si="63"/>
        <v>313.5</v>
      </c>
      <c r="BO196" s="168">
        <f t="shared" si="63"/>
        <v>313.5</v>
      </c>
      <c r="BP196" s="168">
        <f t="shared" si="63"/>
        <v>313.5</v>
      </c>
      <c r="BQ196" s="168">
        <f t="shared" si="63"/>
        <v>313.5</v>
      </c>
      <c r="BR196" s="168">
        <f t="shared" si="63"/>
        <v>313.5</v>
      </c>
      <c r="BS196" s="168">
        <f t="shared" si="63"/>
        <v>313.5</v>
      </c>
      <c r="BT196" s="168">
        <f t="shared" si="63"/>
        <v>313.5</v>
      </c>
      <c r="BU196" s="168">
        <f t="shared" si="63"/>
        <v>313.5</v>
      </c>
      <c r="BV196" s="168">
        <f t="shared" si="63"/>
        <v>313.5</v>
      </c>
      <c r="BW196" s="168">
        <f aca="true" t="shared" si="64" ref="BW196:DF196">$F$183</f>
        <v>313.5</v>
      </c>
      <c r="BX196" s="168">
        <f t="shared" si="64"/>
        <v>313.5</v>
      </c>
      <c r="BY196" s="168">
        <f t="shared" si="64"/>
        <v>313.5</v>
      </c>
      <c r="BZ196" s="168">
        <f t="shared" si="64"/>
        <v>313.5</v>
      </c>
      <c r="CA196" s="168">
        <f t="shared" si="64"/>
        <v>313.5</v>
      </c>
      <c r="CB196" s="168">
        <f t="shared" si="64"/>
        <v>313.5</v>
      </c>
      <c r="CC196" s="168">
        <f t="shared" si="64"/>
        <v>313.5</v>
      </c>
      <c r="CD196" s="168">
        <f t="shared" si="64"/>
        <v>313.5</v>
      </c>
      <c r="CE196" s="168">
        <f t="shared" si="64"/>
        <v>313.5</v>
      </c>
      <c r="CF196" s="168">
        <f t="shared" si="64"/>
        <v>313.5</v>
      </c>
      <c r="CG196" s="168">
        <f t="shared" si="64"/>
        <v>313.5</v>
      </c>
      <c r="CH196" s="168">
        <f t="shared" si="64"/>
        <v>313.5</v>
      </c>
      <c r="CI196" s="168">
        <f t="shared" si="64"/>
        <v>313.5</v>
      </c>
      <c r="CJ196" s="168">
        <f t="shared" si="64"/>
        <v>313.5</v>
      </c>
      <c r="CK196" s="168">
        <f t="shared" si="64"/>
        <v>313.5</v>
      </c>
      <c r="CL196" s="168">
        <f t="shared" si="64"/>
        <v>313.5</v>
      </c>
      <c r="CM196" s="168">
        <f t="shared" si="64"/>
        <v>313.5</v>
      </c>
      <c r="CN196" s="168">
        <f t="shared" si="64"/>
        <v>313.5</v>
      </c>
      <c r="CO196" s="168">
        <f t="shared" si="64"/>
        <v>313.5</v>
      </c>
      <c r="CP196" s="168">
        <f t="shared" si="64"/>
        <v>313.5</v>
      </c>
      <c r="CQ196" s="168">
        <f t="shared" si="64"/>
        <v>313.5</v>
      </c>
      <c r="CR196" s="168">
        <f t="shared" si="64"/>
        <v>313.5</v>
      </c>
      <c r="CS196" s="168">
        <f t="shared" si="64"/>
        <v>313.5</v>
      </c>
      <c r="CT196" s="168">
        <f t="shared" si="64"/>
        <v>313.5</v>
      </c>
      <c r="CU196" s="168">
        <f t="shared" si="64"/>
        <v>313.5</v>
      </c>
      <c r="CV196" s="168">
        <f t="shared" si="64"/>
        <v>313.5</v>
      </c>
      <c r="CW196" s="168">
        <f t="shared" si="64"/>
        <v>313.5</v>
      </c>
      <c r="CX196" s="168">
        <f t="shared" si="64"/>
        <v>313.5</v>
      </c>
      <c r="CY196" s="168">
        <f t="shared" si="64"/>
        <v>313.5</v>
      </c>
      <c r="CZ196" s="168">
        <f t="shared" si="64"/>
        <v>313.5</v>
      </c>
      <c r="DA196" s="168">
        <f t="shared" si="64"/>
        <v>313.5</v>
      </c>
      <c r="DB196" s="168">
        <f t="shared" si="64"/>
        <v>313.5</v>
      </c>
      <c r="DC196" s="168">
        <f t="shared" si="64"/>
        <v>313.5</v>
      </c>
      <c r="DD196" s="168">
        <f t="shared" si="64"/>
        <v>313.5</v>
      </c>
      <c r="DE196" s="168">
        <f t="shared" si="64"/>
        <v>313.5</v>
      </c>
      <c r="DF196" s="168">
        <f t="shared" si="64"/>
        <v>313.5</v>
      </c>
    </row>
    <row r="197" spans="1:110" s="1" customFormat="1" ht="31.5" customHeight="1">
      <c r="A197" s="13" t="s">
        <v>214</v>
      </c>
      <c r="B197" s="13"/>
      <c r="C197" s="13" t="s">
        <v>64</v>
      </c>
      <c r="D197" s="173">
        <f>Prices!C34</f>
        <v>39</v>
      </c>
      <c r="E197" s="167">
        <v>1</v>
      </c>
      <c r="F197" s="648">
        <f>E197*D197</f>
        <v>39</v>
      </c>
      <c r="G197" s="228">
        <f>(F197/((1+'Farm &amp; Buffer Assumptions'!C74)^'Farm &amp; Buffer Assumptions'!C77-1))</f>
        <v>229.60279423068198</v>
      </c>
      <c r="H197" s="151" t="s">
        <v>310</v>
      </c>
      <c r="J197" s="13" t="s">
        <v>281</v>
      </c>
      <c r="K197" s="168">
        <f>G191</f>
        <v>1109</v>
      </c>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row>
    <row r="198" spans="1:110" s="1" customFormat="1" ht="25.5" customHeight="1">
      <c r="A198" s="87" t="s">
        <v>360</v>
      </c>
      <c r="B198" s="34"/>
      <c r="C198" s="34"/>
      <c r="D198" s="34"/>
      <c r="E198" s="34"/>
      <c r="F198" s="89">
        <f>SUM(F194:F197)</f>
        <v>255</v>
      </c>
      <c r="G198" s="232">
        <f>SUM(G194:G197)</f>
        <v>5056.220328254283</v>
      </c>
      <c r="H198" s="151"/>
      <c r="J198" s="13" t="s">
        <v>368</v>
      </c>
      <c r="K198" s="168">
        <f>F195</f>
        <v>170</v>
      </c>
      <c r="L198" s="168">
        <f>$F$194+$F$195</f>
        <v>186</v>
      </c>
      <c r="M198" s="168">
        <f>$F$194+$F$195</f>
        <v>186</v>
      </c>
      <c r="N198" s="168">
        <f>$F$194+$F$195</f>
        <v>186</v>
      </c>
      <c r="O198" s="168">
        <f>$F$194+$F$195</f>
        <v>186</v>
      </c>
      <c r="P198" s="168">
        <f>SUM($F$194:$F$197)</f>
        <v>255</v>
      </c>
      <c r="Q198" s="168">
        <f>$F$194+$F$195</f>
        <v>186</v>
      </c>
      <c r="R198" s="168">
        <f>$F$194+$F$195</f>
        <v>186</v>
      </c>
      <c r="S198" s="168">
        <f>$F$194+$F$195</f>
        <v>186</v>
      </c>
      <c r="T198" s="168">
        <f>$F$194+$F$195</f>
        <v>186</v>
      </c>
      <c r="U198" s="168">
        <f>SUM($F$194:$F$197)</f>
        <v>255</v>
      </c>
      <c r="V198" s="168">
        <f>$F$194+$F$195</f>
        <v>186</v>
      </c>
      <c r="W198" s="168">
        <f>$F$194+$F$195</f>
        <v>186</v>
      </c>
      <c r="X198" s="168">
        <f>$F$194+$F$195</f>
        <v>186</v>
      </c>
      <c r="Y198" s="168">
        <f>$F$194+$F$195</f>
        <v>186</v>
      </c>
      <c r="Z198" s="168">
        <f>SUM($F$194:$F$197)</f>
        <v>255</v>
      </c>
      <c r="AA198" s="168">
        <f>$F$194+$F$195</f>
        <v>186</v>
      </c>
      <c r="AB198" s="168">
        <f>$F$194+$F$195</f>
        <v>186</v>
      </c>
      <c r="AC198" s="168">
        <f>$F$194+$F$195</f>
        <v>186</v>
      </c>
      <c r="AD198" s="168">
        <f>$F$194+$F$195</f>
        <v>186</v>
      </c>
      <c r="AE198" s="168">
        <f>SUM($F$194:$F$197)</f>
        <v>255</v>
      </c>
      <c r="AF198" s="168">
        <f>$F$194+$F$195</f>
        <v>186</v>
      </c>
      <c r="AG198" s="168">
        <f>$F$194+$F$195</f>
        <v>186</v>
      </c>
      <c r="AH198" s="168">
        <f>$F$194+$F$195</f>
        <v>186</v>
      </c>
      <c r="AI198" s="168">
        <f>$F$194+$F$195</f>
        <v>186</v>
      </c>
      <c r="AJ198" s="168">
        <f>SUM($F$194:$F$197)</f>
        <v>255</v>
      </c>
      <c r="AK198" s="168">
        <f>$F$194+$F$195</f>
        <v>186</v>
      </c>
      <c r="AL198" s="168">
        <f>$F$194+$F$195</f>
        <v>186</v>
      </c>
      <c r="AM198" s="168">
        <f>$F$194+$F$195</f>
        <v>186</v>
      </c>
      <c r="AN198" s="168">
        <f>$F$194+$F$195</f>
        <v>186</v>
      </c>
      <c r="AO198" s="168">
        <f>SUM($F$194:$F$197)</f>
        <v>255</v>
      </c>
      <c r="AP198" s="168">
        <f>$F$194+$F$195</f>
        <v>186</v>
      </c>
      <c r="AQ198" s="168">
        <f>$F$194+$F$195</f>
        <v>186</v>
      </c>
      <c r="AR198" s="168">
        <f>$F$194+$F$195</f>
        <v>186</v>
      </c>
      <c r="AS198" s="168">
        <f>$F$194+$F$195</f>
        <v>186</v>
      </c>
      <c r="AT198" s="168">
        <f>SUM($F$194:$F$197)</f>
        <v>255</v>
      </c>
      <c r="AU198" s="168">
        <f>$F$194+$F$195</f>
        <v>186</v>
      </c>
      <c r="AV198" s="168">
        <f>$F$194+$F$195</f>
        <v>186</v>
      </c>
      <c r="AW198" s="168">
        <f>$F$194+$F$195</f>
        <v>186</v>
      </c>
      <c r="AX198" s="168">
        <f>$F$194+$F$195</f>
        <v>186</v>
      </c>
      <c r="AY198" s="168">
        <f>SUM($F$194:$F$197)</f>
        <v>255</v>
      </c>
      <c r="AZ198" s="168">
        <f>$F$194+$F$195</f>
        <v>186</v>
      </c>
      <c r="BA198" s="168">
        <f>$F$194+$F$195</f>
        <v>186</v>
      </c>
      <c r="BB198" s="168">
        <f>$F$194+$F$195</f>
        <v>186</v>
      </c>
      <c r="BC198" s="168">
        <f>$F$194+$F$195</f>
        <v>186</v>
      </c>
      <c r="BD198" s="168">
        <f>SUM($F$194:$F$197)</f>
        <v>255</v>
      </c>
      <c r="BE198" s="168">
        <f>$F$194+$F$195</f>
        <v>186</v>
      </c>
      <c r="BF198" s="168">
        <f>$F$194+$F$195</f>
        <v>186</v>
      </c>
      <c r="BG198" s="168">
        <f>$F$194+$F$195</f>
        <v>186</v>
      </c>
      <c r="BH198" s="168">
        <f>$F$194+$F$195</f>
        <v>186</v>
      </c>
      <c r="BI198" s="168">
        <f>SUM($F$194:$F$197)</f>
        <v>255</v>
      </c>
      <c r="BJ198" s="168">
        <f>$F$194+$F$195</f>
        <v>186</v>
      </c>
      <c r="BK198" s="168">
        <f>$F$194+$F$195</f>
        <v>186</v>
      </c>
      <c r="BL198" s="168">
        <f>$F$194+$F$195</f>
        <v>186</v>
      </c>
      <c r="BM198" s="168">
        <f>$F$194+$F$195</f>
        <v>186</v>
      </c>
      <c r="BN198" s="168">
        <f>SUM($F$194:$F$197)</f>
        <v>255</v>
      </c>
      <c r="BO198" s="168">
        <f>$F$194+$F$195</f>
        <v>186</v>
      </c>
      <c r="BP198" s="168">
        <f>$F$194+$F$195</f>
        <v>186</v>
      </c>
      <c r="BQ198" s="168">
        <f>$F$194+$F$195</f>
        <v>186</v>
      </c>
      <c r="BR198" s="168">
        <f>$F$194+$F$195</f>
        <v>186</v>
      </c>
      <c r="BS198" s="168">
        <f>SUM($F$194:$F$197)</f>
        <v>255</v>
      </c>
      <c r="BT198" s="168">
        <f>$F$194+$F$195</f>
        <v>186</v>
      </c>
      <c r="BU198" s="168">
        <f>$F$194+$F$195</f>
        <v>186</v>
      </c>
      <c r="BV198" s="168">
        <f>$F$194+$F$195</f>
        <v>186</v>
      </c>
      <c r="BW198" s="168">
        <f>$F$194+$F$195</f>
        <v>186</v>
      </c>
      <c r="BX198" s="168">
        <f>SUM($F$194:$F$197)</f>
        <v>255</v>
      </c>
      <c r="BY198" s="168">
        <f>$F$194+$F$195</f>
        <v>186</v>
      </c>
      <c r="BZ198" s="168">
        <f>$F$194+$F$195</f>
        <v>186</v>
      </c>
      <c r="CA198" s="168">
        <f>$F$194+$F$195</f>
        <v>186</v>
      </c>
      <c r="CB198" s="168">
        <f>$F$194+$F$195</f>
        <v>186</v>
      </c>
      <c r="CC198" s="168">
        <f>SUM($F$194:$F$197)</f>
        <v>255</v>
      </c>
      <c r="CD198" s="168">
        <f>$F$194+$F$195</f>
        <v>186</v>
      </c>
      <c r="CE198" s="168">
        <f>$F$194+$F$195</f>
        <v>186</v>
      </c>
      <c r="CF198" s="168">
        <f>$F$194+$F$195</f>
        <v>186</v>
      </c>
      <c r="CG198" s="168">
        <f>$F$194+$F$195</f>
        <v>186</v>
      </c>
      <c r="CH198" s="168">
        <f>SUM($F$194:$F$197)</f>
        <v>255</v>
      </c>
      <c r="CI198" s="168">
        <f>$F$194+$F$195</f>
        <v>186</v>
      </c>
      <c r="CJ198" s="168">
        <f>$F$194+$F$195</f>
        <v>186</v>
      </c>
      <c r="CK198" s="168">
        <f>$F$194+$F$195</f>
        <v>186</v>
      </c>
      <c r="CL198" s="168">
        <f>$F$194+$F$195</f>
        <v>186</v>
      </c>
      <c r="CM198" s="168">
        <f>SUM($F$194:$F$197)</f>
        <v>255</v>
      </c>
      <c r="CN198" s="168">
        <f>$F$194+$F$195</f>
        <v>186</v>
      </c>
      <c r="CO198" s="168">
        <f>$F$194+$F$195</f>
        <v>186</v>
      </c>
      <c r="CP198" s="168">
        <f>$F$194+$F$195</f>
        <v>186</v>
      </c>
      <c r="CQ198" s="168">
        <f>$F$194+$F$195</f>
        <v>186</v>
      </c>
      <c r="CR198" s="168">
        <f>SUM($F$194:$F$197)</f>
        <v>255</v>
      </c>
      <c r="CS198" s="168">
        <f>$F$194+$F$195</f>
        <v>186</v>
      </c>
      <c r="CT198" s="168">
        <f>$F$194+$F$195</f>
        <v>186</v>
      </c>
      <c r="CU198" s="168">
        <f>$F$194+$F$195</f>
        <v>186</v>
      </c>
      <c r="CV198" s="168">
        <f>$F$194+$F$195</f>
        <v>186</v>
      </c>
      <c r="CW198" s="168">
        <f>SUM($F$194:$F$197)</f>
        <v>255</v>
      </c>
      <c r="CX198" s="168">
        <f>$F$194+$F$195</f>
        <v>186</v>
      </c>
      <c r="CY198" s="168">
        <f>$F$194+$F$195</f>
        <v>186</v>
      </c>
      <c r="CZ198" s="168">
        <f>$F$194+$F$195</f>
        <v>186</v>
      </c>
      <c r="DA198" s="168">
        <f>$F$194+$F$195</f>
        <v>186</v>
      </c>
      <c r="DB198" s="168">
        <f>SUM($F$194:$F$197)</f>
        <v>255</v>
      </c>
      <c r="DC198" s="168">
        <f>$F$194+$F$195</f>
        <v>186</v>
      </c>
      <c r="DD198" s="168">
        <f>$F$194+$F$195</f>
        <v>186</v>
      </c>
      <c r="DE198" s="168">
        <f>$F$194+$F$195</f>
        <v>186</v>
      </c>
      <c r="DF198" s="168">
        <f>$F$194+$F$195</f>
        <v>186</v>
      </c>
    </row>
    <row r="199" spans="1:110" ht="31.5" customHeight="1">
      <c r="A199" s="13" t="s">
        <v>665</v>
      </c>
      <c r="B199" s="13"/>
      <c r="C199" s="13"/>
      <c r="D199" s="173"/>
      <c r="E199" s="167"/>
      <c r="F199" s="731">
        <v>84.2</v>
      </c>
      <c r="G199" s="228">
        <f>F199/'Farm &amp; Buffer Assumptions'!$C$74</f>
        <v>2105</v>
      </c>
      <c r="H199" s="151"/>
      <c r="J199" s="209" t="s">
        <v>280</v>
      </c>
      <c r="K199" s="15">
        <f aca="true" t="shared" si="65" ref="K199:AP199">SUM(K192:K196)-SUM(K197:K198)</f>
        <v>-965.5</v>
      </c>
      <c r="L199" s="15">
        <f t="shared" si="65"/>
        <v>127.5</v>
      </c>
      <c r="M199" s="15">
        <f t="shared" si="65"/>
        <v>127.5</v>
      </c>
      <c r="N199" s="15">
        <f t="shared" si="65"/>
        <v>127.5</v>
      </c>
      <c r="O199" s="15">
        <f t="shared" si="65"/>
        <v>127.5</v>
      </c>
      <c r="P199" s="15">
        <f t="shared" si="65"/>
        <v>58.5</v>
      </c>
      <c r="Q199" s="15">
        <f t="shared" si="65"/>
        <v>127.5</v>
      </c>
      <c r="R199" s="15">
        <f t="shared" si="65"/>
        <v>127.5</v>
      </c>
      <c r="S199" s="15">
        <f t="shared" si="65"/>
        <v>127.5</v>
      </c>
      <c r="T199" s="15">
        <f t="shared" si="65"/>
        <v>127.5</v>
      </c>
      <c r="U199" s="15">
        <f t="shared" si="65"/>
        <v>58.5</v>
      </c>
      <c r="V199" s="15">
        <f t="shared" si="65"/>
        <v>127.5</v>
      </c>
      <c r="W199" s="15">
        <f t="shared" si="65"/>
        <v>127.5</v>
      </c>
      <c r="X199" s="15">
        <f t="shared" si="65"/>
        <v>127.5</v>
      </c>
      <c r="Y199" s="15">
        <f t="shared" si="65"/>
        <v>127.5</v>
      </c>
      <c r="Z199" s="15">
        <f t="shared" si="65"/>
        <v>58.5</v>
      </c>
      <c r="AA199" s="15">
        <f t="shared" si="65"/>
        <v>127.5</v>
      </c>
      <c r="AB199" s="15">
        <f t="shared" si="65"/>
        <v>127.5</v>
      </c>
      <c r="AC199" s="15">
        <f t="shared" si="65"/>
        <v>127.5</v>
      </c>
      <c r="AD199" s="15">
        <f t="shared" si="65"/>
        <v>127.5</v>
      </c>
      <c r="AE199" s="15">
        <f t="shared" si="65"/>
        <v>58.5</v>
      </c>
      <c r="AF199" s="15">
        <f t="shared" si="65"/>
        <v>127.5</v>
      </c>
      <c r="AG199" s="15">
        <f t="shared" si="65"/>
        <v>127.5</v>
      </c>
      <c r="AH199" s="15">
        <f t="shared" si="65"/>
        <v>127.5</v>
      </c>
      <c r="AI199" s="15">
        <f t="shared" si="65"/>
        <v>127.5</v>
      </c>
      <c r="AJ199" s="15">
        <f t="shared" si="65"/>
        <v>58.5</v>
      </c>
      <c r="AK199" s="15">
        <f t="shared" si="65"/>
        <v>127.5</v>
      </c>
      <c r="AL199" s="15">
        <f t="shared" si="65"/>
        <v>127.5</v>
      </c>
      <c r="AM199" s="15">
        <f t="shared" si="65"/>
        <v>127.5</v>
      </c>
      <c r="AN199" s="15">
        <f t="shared" si="65"/>
        <v>127.5</v>
      </c>
      <c r="AO199" s="15">
        <f t="shared" si="65"/>
        <v>58.5</v>
      </c>
      <c r="AP199" s="15">
        <f t="shared" si="65"/>
        <v>127.5</v>
      </c>
      <c r="AQ199" s="15">
        <f aca="true" t="shared" si="66" ref="AQ199:BV199">SUM(AQ192:AQ196)-SUM(AQ197:AQ198)</f>
        <v>127.5</v>
      </c>
      <c r="AR199" s="15">
        <f t="shared" si="66"/>
        <v>127.5</v>
      </c>
      <c r="AS199" s="15">
        <f t="shared" si="66"/>
        <v>127.5</v>
      </c>
      <c r="AT199" s="15">
        <f t="shared" si="66"/>
        <v>58.5</v>
      </c>
      <c r="AU199" s="15">
        <f t="shared" si="66"/>
        <v>127.5</v>
      </c>
      <c r="AV199" s="15">
        <f t="shared" si="66"/>
        <v>127.5</v>
      </c>
      <c r="AW199" s="15">
        <f t="shared" si="66"/>
        <v>127.5</v>
      </c>
      <c r="AX199" s="15">
        <f t="shared" si="66"/>
        <v>127.5</v>
      </c>
      <c r="AY199" s="15">
        <f t="shared" si="66"/>
        <v>58.5</v>
      </c>
      <c r="AZ199" s="15">
        <f t="shared" si="66"/>
        <v>127.5</v>
      </c>
      <c r="BA199" s="15">
        <f t="shared" si="66"/>
        <v>127.5</v>
      </c>
      <c r="BB199" s="15">
        <f t="shared" si="66"/>
        <v>127.5</v>
      </c>
      <c r="BC199" s="15">
        <f t="shared" si="66"/>
        <v>127.5</v>
      </c>
      <c r="BD199" s="15">
        <f t="shared" si="66"/>
        <v>58.5</v>
      </c>
      <c r="BE199" s="15">
        <f t="shared" si="66"/>
        <v>127.5</v>
      </c>
      <c r="BF199" s="15">
        <f t="shared" si="66"/>
        <v>127.5</v>
      </c>
      <c r="BG199" s="15">
        <f t="shared" si="66"/>
        <v>127.5</v>
      </c>
      <c r="BH199" s="15">
        <f t="shared" si="66"/>
        <v>127.5</v>
      </c>
      <c r="BI199" s="15">
        <f t="shared" si="66"/>
        <v>58.5</v>
      </c>
      <c r="BJ199" s="15">
        <f t="shared" si="66"/>
        <v>127.5</v>
      </c>
      <c r="BK199" s="15">
        <f t="shared" si="66"/>
        <v>127.5</v>
      </c>
      <c r="BL199" s="15">
        <f t="shared" si="66"/>
        <v>127.5</v>
      </c>
      <c r="BM199" s="15">
        <f t="shared" si="66"/>
        <v>127.5</v>
      </c>
      <c r="BN199" s="15">
        <f t="shared" si="66"/>
        <v>58.5</v>
      </c>
      <c r="BO199" s="15">
        <f t="shared" si="66"/>
        <v>127.5</v>
      </c>
      <c r="BP199" s="15">
        <f t="shared" si="66"/>
        <v>127.5</v>
      </c>
      <c r="BQ199" s="15">
        <f t="shared" si="66"/>
        <v>127.5</v>
      </c>
      <c r="BR199" s="15">
        <f t="shared" si="66"/>
        <v>127.5</v>
      </c>
      <c r="BS199" s="15">
        <f t="shared" si="66"/>
        <v>58.5</v>
      </c>
      <c r="BT199" s="15">
        <f t="shared" si="66"/>
        <v>127.5</v>
      </c>
      <c r="BU199" s="15">
        <f t="shared" si="66"/>
        <v>127.5</v>
      </c>
      <c r="BV199" s="15">
        <f t="shared" si="66"/>
        <v>127.5</v>
      </c>
      <c r="BW199" s="15">
        <f aca="true" t="shared" si="67" ref="BW199:DB199">SUM(BW192:BW196)-SUM(BW197:BW198)</f>
        <v>127.5</v>
      </c>
      <c r="BX199" s="15">
        <f t="shared" si="67"/>
        <v>58.5</v>
      </c>
      <c r="BY199" s="15">
        <f t="shared" si="67"/>
        <v>127.5</v>
      </c>
      <c r="BZ199" s="15">
        <f t="shared" si="67"/>
        <v>127.5</v>
      </c>
      <c r="CA199" s="15">
        <f t="shared" si="67"/>
        <v>127.5</v>
      </c>
      <c r="CB199" s="15">
        <f t="shared" si="67"/>
        <v>127.5</v>
      </c>
      <c r="CC199" s="15">
        <f t="shared" si="67"/>
        <v>58.5</v>
      </c>
      <c r="CD199" s="15">
        <f t="shared" si="67"/>
        <v>127.5</v>
      </c>
      <c r="CE199" s="15">
        <f t="shared" si="67"/>
        <v>127.5</v>
      </c>
      <c r="CF199" s="15">
        <f t="shared" si="67"/>
        <v>127.5</v>
      </c>
      <c r="CG199" s="15">
        <f t="shared" si="67"/>
        <v>127.5</v>
      </c>
      <c r="CH199" s="15">
        <f t="shared" si="67"/>
        <v>58.5</v>
      </c>
      <c r="CI199" s="15">
        <f t="shared" si="67"/>
        <v>127.5</v>
      </c>
      <c r="CJ199" s="15">
        <f t="shared" si="67"/>
        <v>127.5</v>
      </c>
      <c r="CK199" s="15">
        <f t="shared" si="67"/>
        <v>127.5</v>
      </c>
      <c r="CL199" s="15">
        <f t="shared" si="67"/>
        <v>127.5</v>
      </c>
      <c r="CM199" s="15">
        <f t="shared" si="67"/>
        <v>58.5</v>
      </c>
      <c r="CN199" s="15">
        <f t="shared" si="67"/>
        <v>127.5</v>
      </c>
      <c r="CO199" s="15">
        <f t="shared" si="67"/>
        <v>127.5</v>
      </c>
      <c r="CP199" s="15">
        <f t="shared" si="67"/>
        <v>127.5</v>
      </c>
      <c r="CQ199" s="15">
        <f t="shared" si="67"/>
        <v>127.5</v>
      </c>
      <c r="CR199" s="15">
        <f t="shared" si="67"/>
        <v>58.5</v>
      </c>
      <c r="CS199" s="15">
        <f t="shared" si="67"/>
        <v>127.5</v>
      </c>
      <c r="CT199" s="15">
        <f t="shared" si="67"/>
        <v>127.5</v>
      </c>
      <c r="CU199" s="15">
        <f t="shared" si="67"/>
        <v>127.5</v>
      </c>
      <c r="CV199" s="15">
        <f t="shared" si="67"/>
        <v>127.5</v>
      </c>
      <c r="CW199" s="15">
        <f t="shared" si="67"/>
        <v>58.5</v>
      </c>
      <c r="CX199" s="15">
        <f t="shared" si="67"/>
        <v>127.5</v>
      </c>
      <c r="CY199" s="15">
        <f t="shared" si="67"/>
        <v>127.5</v>
      </c>
      <c r="CZ199" s="15">
        <f t="shared" si="67"/>
        <v>127.5</v>
      </c>
      <c r="DA199" s="15">
        <f t="shared" si="67"/>
        <v>127.5</v>
      </c>
      <c r="DB199" s="15">
        <f t="shared" si="67"/>
        <v>58.5</v>
      </c>
      <c r="DC199" s="15">
        <f>SUM(DC192:DC196)-SUM(DC197:DC198)</f>
        <v>127.5</v>
      </c>
      <c r="DD199" s="15">
        <f>SUM(DD192:DD196)-SUM(DD197:DD198)</f>
        <v>127.5</v>
      </c>
      <c r="DE199" s="15">
        <f>SUM(DE192:DE196)-SUM(DE197:DE198)</f>
        <v>127.5</v>
      </c>
      <c r="DF199" s="15">
        <f>SUM(DF192:DF196)-SUM(DF197:DF198)</f>
        <v>127.5</v>
      </c>
    </row>
    <row r="200" spans="1:110" ht="21.75" customHeight="1">
      <c r="A200" s="170" t="s">
        <v>186</v>
      </c>
      <c r="B200" s="170"/>
      <c r="C200" s="170"/>
      <c r="D200" s="175"/>
      <c r="E200" s="176"/>
      <c r="F200" s="176">
        <f>F191+F198+F199</f>
        <v>1448.2</v>
      </c>
      <c r="G200" s="234">
        <f>G191+G198+G199</f>
        <v>8270.220328254283</v>
      </c>
      <c r="H200" s="162"/>
      <c r="J200" s="212" t="s">
        <v>289</v>
      </c>
      <c r="K200" s="210"/>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row>
    <row r="201" spans="1:110" ht="25.5" customHeight="1">
      <c r="A201" s="249" t="s">
        <v>312</v>
      </c>
      <c r="B201" s="249"/>
      <c r="C201" s="249"/>
      <c r="D201" s="249"/>
      <c r="E201" s="249"/>
      <c r="F201" s="250"/>
      <c r="G201" s="251">
        <f>G184-G200</f>
        <v>-432.72032825428323</v>
      </c>
      <c r="H201" s="708"/>
      <c r="J201" s="220" t="s">
        <v>372</v>
      </c>
      <c r="K201" s="221"/>
      <c r="L201" s="5"/>
      <c r="M201" s="17" t="s">
        <v>422</v>
      </c>
      <c r="N201" s="6"/>
      <c r="O201" s="6"/>
      <c r="P201" s="255"/>
      <c r="Q201" s="6"/>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row>
    <row r="202" spans="1:110" ht="24.75" customHeight="1">
      <c r="A202" s="760" t="s">
        <v>311</v>
      </c>
      <c r="B202" s="760"/>
      <c r="C202" s="760"/>
      <c r="D202" s="760"/>
      <c r="E202" s="760"/>
      <c r="F202" s="760"/>
      <c r="G202" s="760"/>
      <c r="H202" s="760"/>
      <c r="J202" s="211" t="s">
        <v>291</v>
      </c>
      <c r="K202" s="219">
        <f>NPV('Farm &amp; Buffer Assumptions'!C74,K199:AD199)</f>
        <v>545.6126198462725</v>
      </c>
      <c r="L202" s="1"/>
      <c r="M202" s="222">
        <f>K192</f>
        <v>0</v>
      </c>
      <c r="N202" s="216" t="s">
        <v>43</v>
      </c>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row>
    <row r="203" spans="1:110" ht="41.25" customHeight="1">
      <c r="A203" s="753" t="s">
        <v>235</v>
      </c>
      <c r="B203" s="753"/>
      <c r="C203" s="753"/>
      <c r="D203" s="753"/>
      <c r="E203" s="753"/>
      <c r="F203" s="753"/>
      <c r="G203" s="753"/>
      <c r="H203" s="753"/>
      <c r="J203" s="211" t="s">
        <v>292</v>
      </c>
      <c r="K203" s="177">
        <f>NPV('Farm &amp; Buffer Assumptions'!C74,K199:AN199)</f>
        <v>962.4131810789472</v>
      </c>
      <c r="L203" s="1"/>
      <c r="M203" s="223">
        <f>NPV('Farm &amp; Buffer Assumptions'!C74,K193:DF193)</f>
        <v>0</v>
      </c>
      <c r="N203" s="10" t="s">
        <v>367</v>
      </c>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row>
    <row r="204" spans="1:110" ht="37.5" customHeight="1">
      <c r="A204" s="753" t="s">
        <v>188</v>
      </c>
      <c r="B204" s="753"/>
      <c r="C204" s="753"/>
      <c r="D204" s="753"/>
      <c r="E204" s="753"/>
      <c r="F204" s="753"/>
      <c r="G204" s="753"/>
      <c r="H204" s="753"/>
      <c r="J204" s="211" t="s">
        <v>293</v>
      </c>
      <c r="K204" s="177">
        <f>NPV('Farm &amp; Buffer Assumptions'!C74,K199:AX199)</f>
        <v>1243.9887057942256</v>
      </c>
      <c r="L204" s="1"/>
      <c r="M204" s="224">
        <f>NPV('Farm &amp; Buffer Assumptions'!C74,K194:DF194)</f>
        <v>0</v>
      </c>
      <c r="N204" s="216" t="s">
        <v>234</v>
      </c>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row>
    <row r="205" spans="1:110" ht="19.5" customHeight="1">
      <c r="A205" s="753" t="s">
        <v>364</v>
      </c>
      <c r="B205" s="753"/>
      <c r="C205" s="753"/>
      <c r="D205" s="753"/>
      <c r="E205" s="753"/>
      <c r="F205" s="753"/>
      <c r="G205" s="753"/>
      <c r="H205" s="753"/>
      <c r="J205" s="211" t="s">
        <v>294</v>
      </c>
      <c r="K205" s="177">
        <f>NPV('Farm &amp; Buffer Assumptions'!C74,K199:BH199)</f>
        <v>1434.2110411101903</v>
      </c>
      <c r="L205" s="1"/>
      <c r="M205" s="223">
        <f>K195</f>
        <v>0</v>
      </c>
      <c r="N205" s="216" t="s">
        <v>86</v>
      </c>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row>
    <row r="206" spans="1:110" ht="18.75" customHeight="1">
      <c r="A206" s="753" t="s">
        <v>366</v>
      </c>
      <c r="B206" s="753"/>
      <c r="C206" s="753"/>
      <c r="D206" s="753"/>
      <c r="E206" s="753"/>
      <c r="F206" s="753"/>
      <c r="G206" s="753"/>
      <c r="H206" s="753"/>
      <c r="J206" s="211" t="s">
        <v>295</v>
      </c>
      <c r="K206" s="177">
        <f>NPV('Farm &amp; Buffer Assumptions'!C74,K199:BR199)</f>
        <v>1562.7184349600223</v>
      </c>
      <c r="L206" s="1"/>
      <c r="M206" s="224">
        <f>NPV('Farm &amp; Buffer Assumptions'!C74,K196:DF196)</f>
        <v>7682.317185607143</v>
      </c>
      <c r="N206" s="193" t="s">
        <v>376</v>
      </c>
      <c r="O206" s="1"/>
      <c r="P206" s="1"/>
      <c r="Q206" s="1"/>
      <c r="R206" s="14">
        <f>SUM(M202:M206)</f>
        <v>7682.317185607143</v>
      </c>
      <c r="S206" s="14">
        <f>G184-R206</f>
        <v>155.18281439285693</v>
      </c>
      <c r="T206" s="32" t="s">
        <v>373</v>
      </c>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row>
    <row r="207" spans="1:110" ht="22.5" customHeight="1">
      <c r="A207" s="753" t="s">
        <v>190</v>
      </c>
      <c r="B207" s="753"/>
      <c r="C207" s="753"/>
      <c r="D207" s="753"/>
      <c r="E207" s="753"/>
      <c r="F207" s="753"/>
      <c r="G207" s="753"/>
      <c r="H207" s="753"/>
      <c r="J207" s="211" t="s">
        <v>296</v>
      </c>
      <c r="K207" s="177">
        <f>NPV('Farm &amp; Buffer Assumptions'!C74,K199:CB199)</f>
        <v>1649.533425674154</v>
      </c>
      <c r="L207" s="1"/>
      <c r="M207" s="225">
        <f>K197</f>
        <v>1109</v>
      </c>
      <c r="N207" s="193" t="s">
        <v>343</v>
      </c>
      <c r="O207" s="1"/>
      <c r="P207" s="1"/>
      <c r="Q207" s="1"/>
      <c r="R207" s="14">
        <f>SUM(M207:M208)</f>
        <v>5950.4005982498</v>
      </c>
      <c r="S207" s="163">
        <f>G200-R207</f>
        <v>2319.819730004483</v>
      </c>
      <c r="T207" s="32" t="s">
        <v>375</v>
      </c>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row>
    <row r="208" spans="10:110" ht="24.75" customHeight="1">
      <c r="J208" s="211" t="s">
        <v>297</v>
      </c>
      <c r="K208" s="177">
        <f>NPV('Farm &amp; Buffer Assumptions'!C74,K199:CL199)</f>
        <v>1708.1825227175657</v>
      </c>
      <c r="L208" s="1"/>
      <c r="M208" s="223">
        <f>NPV('Farm &amp; Buffer Assumptions'!C74,K198:DF198)</f>
        <v>4841.4005982498</v>
      </c>
      <c r="N208" t="s">
        <v>369</v>
      </c>
      <c r="O208" s="1"/>
      <c r="P208" s="1"/>
      <c r="Q208" s="1"/>
      <c r="R208" s="1"/>
      <c r="S208" s="14">
        <f>S206-S207</f>
        <v>-2164.636915611626</v>
      </c>
      <c r="T208" s="32" t="s">
        <v>371</v>
      </c>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row>
    <row r="209" spans="10:110" ht="28.5" customHeight="1">
      <c r="J209" s="211" t="s">
        <v>298</v>
      </c>
      <c r="K209" s="177">
        <f>NPV('Farm &amp; Buffer Assumptions'!C74,K199:CV199)</f>
        <v>1747.8037512140818</v>
      </c>
      <c r="L209" s="1"/>
      <c r="M209" s="277">
        <f>SUM(M202:M206)-SUM(M207:M208)</f>
        <v>1731.916587357343</v>
      </c>
      <c r="N209" t="s">
        <v>346</v>
      </c>
      <c r="O209" s="1"/>
      <c r="P209" s="1"/>
      <c r="Q209" s="1"/>
      <c r="R209" s="1"/>
      <c r="S209" s="210">
        <f>G201-M209</f>
        <v>-2164.636915611626</v>
      </c>
      <c r="T209" s="32" t="s">
        <v>370</v>
      </c>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row>
    <row r="210" spans="10:110" ht="15.75">
      <c r="J210" s="211" t="s">
        <v>299</v>
      </c>
      <c r="K210" s="177">
        <f>NPV('Farm &amp; Buffer Assumptions'!C74,K199:DF199)</f>
        <v>1774.5704335111875</v>
      </c>
      <c r="L210" s="1"/>
      <c r="O210" s="1"/>
      <c r="P210" s="1"/>
      <c r="Q210" s="1"/>
      <c r="R210" s="1"/>
      <c r="S210" s="1"/>
      <c r="T210" s="32" t="s">
        <v>374</v>
      </c>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row>
    <row r="211" spans="10:110" ht="12.75">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row>
    <row r="212" spans="10:110" ht="12.75">
      <c r="J212" t="s">
        <v>340</v>
      </c>
      <c r="K212" s="215">
        <f>K210-G201</f>
        <v>2207.290761765471</v>
      </c>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row>
    <row r="213" spans="10:110" ht="12.75">
      <c r="J213" s="1"/>
      <c r="K213" s="1"/>
      <c r="L213" s="1"/>
      <c r="M213" s="1"/>
      <c r="N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row>
    <row r="214" ht="12.75">
      <c r="M214" s="1"/>
    </row>
  </sheetData>
  <mergeCells count="34">
    <mergeCell ref="A204:H204"/>
    <mergeCell ref="A171:H171"/>
    <mergeCell ref="A172:H172"/>
    <mergeCell ref="A173:H173"/>
    <mergeCell ref="A174:H174"/>
    <mergeCell ref="A175:H175"/>
    <mergeCell ref="A137:H137"/>
    <mergeCell ref="A138:H138"/>
    <mergeCell ref="A202:H202"/>
    <mergeCell ref="A203:H203"/>
    <mergeCell ref="A21:H21"/>
    <mergeCell ref="A22:H22"/>
    <mergeCell ref="A23:H23"/>
    <mergeCell ref="A24:H24"/>
    <mergeCell ref="A205:H205"/>
    <mergeCell ref="A105:H105"/>
    <mergeCell ref="A77:H77"/>
    <mergeCell ref="A106:H106"/>
    <mergeCell ref="A107:H107"/>
    <mergeCell ref="A108:H108"/>
    <mergeCell ref="A109:H109"/>
    <mergeCell ref="A134:H134"/>
    <mergeCell ref="A135:H135"/>
    <mergeCell ref="A136:H136"/>
    <mergeCell ref="A46:H46"/>
    <mergeCell ref="A206:H206"/>
    <mergeCell ref="A207:H207"/>
    <mergeCell ref="A78:E78"/>
    <mergeCell ref="A80:E80"/>
    <mergeCell ref="A79:H79"/>
    <mergeCell ref="A81:H81"/>
    <mergeCell ref="A47:H47"/>
    <mergeCell ref="A48:H48"/>
    <mergeCell ref="A49:H49"/>
  </mergeCells>
  <printOptions verticalCentered="1"/>
  <pageMargins left="0.5" right="0.5" top="0.5" bottom="0.5" header="0.5" footer="0.5"/>
  <pageSetup fitToHeight="1" fitToWidth="1" horizontalDpi="300" verticalDpi="300" orientation="landscape" scale="10" r:id="rId4"/>
  <headerFooter alignWithMargins="0">
    <oddHeader>&amp;LFile Name: &amp;F, Sheet Name: &amp;A&amp;R&amp;D, &amp;T</oddHeader>
    <oddFooter>&amp;RPrepared by:
Resource Consulting</oddFooter>
  </headerFooter>
  <rowBreaks count="6" manualBreakCount="6">
    <brk id="25" max="7" man="1"/>
    <brk id="50" max="7" man="1"/>
    <brk id="81" max="7" man="1"/>
    <brk id="110" max="7" man="1"/>
    <brk id="139" max="7" man="1"/>
    <brk id="176" max="7" man="1"/>
  </rowBreaks>
  <drawing r:id="rId3"/>
  <legacyDrawing r:id="rId2"/>
</worksheet>
</file>

<file path=xl/worksheets/sheet11.xml><?xml version="1.0" encoding="utf-8"?>
<worksheet xmlns="http://schemas.openxmlformats.org/spreadsheetml/2006/main" xmlns:r="http://schemas.openxmlformats.org/officeDocument/2006/relationships">
  <dimension ref="A2:V67"/>
  <sheetViews>
    <sheetView workbookViewId="0" topLeftCell="A1">
      <selection activeCell="A1" sqref="A1"/>
    </sheetView>
  </sheetViews>
  <sheetFormatPr defaultColWidth="9.140625" defaultRowHeight="12.75"/>
  <cols>
    <col min="1" max="1" width="36.00390625" style="0" customWidth="1"/>
    <col min="2" max="2" width="17.28125" style="0" customWidth="1"/>
    <col min="3" max="21" width="9.7109375" style="0" customWidth="1"/>
    <col min="22" max="22" width="10.140625" style="0" bestFit="1" customWidth="1"/>
  </cols>
  <sheetData>
    <row r="2" ht="18">
      <c r="A2" s="19" t="s">
        <v>669</v>
      </c>
    </row>
    <row r="4" ht="12.75">
      <c r="A4" s="3" t="s">
        <v>670</v>
      </c>
    </row>
    <row r="5" spans="1:2" ht="12.75">
      <c r="A5" t="s">
        <v>671</v>
      </c>
      <c r="B5" t="s">
        <v>672</v>
      </c>
    </row>
    <row r="6" spans="1:2" ht="12.75">
      <c r="A6" t="s">
        <v>673</v>
      </c>
      <c r="B6" s="655">
        <v>90</v>
      </c>
    </row>
    <row r="7" spans="1:2" ht="12.75">
      <c r="A7" t="s">
        <v>674</v>
      </c>
      <c r="B7" s="655">
        <v>312</v>
      </c>
    </row>
    <row r="8" spans="1:2" ht="12.75">
      <c r="A8" t="s">
        <v>675</v>
      </c>
      <c r="B8" s="655">
        <v>407</v>
      </c>
    </row>
    <row r="10" ht="12.75">
      <c r="A10" s="3" t="s">
        <v>676</v>
      </c>
    </row>
    <row r="11" spans="1:2" ht="12.75">
      <c r="A11" t="s">
        <v>671</v>
      </c>
      <c r="B11" t="s">
        <v>677</v>
      </c>
    </row>
    <row r="12" spans="1:2" ht="12.75">
      <c r="A12" t="s">
        <v>678</v>
      </c>
      <c r="B12" s="655">
        <v>240</v>
      </c>
    </row>
    <row r="13" spans="1:2" ht="12.75">
      <c r="A13" t="s">
        <v>679</v>
      </c>
      <c r="B13" s="655">
        <v>1260</v>
      </c>
    </row>
    <row r="14" spans="1:2" ht="12.75">
      <c r="A14" t="s">
        <v>680</v>
      </c>
      <c r="B14" s="655">
        <v>1500</v>
      </c>
    </row>
    <row r="15" ht="12.75">
      <c r="B15" s="656"/>
    </row>
    <row r="16" spans="1:2" ht="12.75">
      <c r="A16" s="3" t="s">
        <v>681</v>
      </c>
      <c r="B16" s="656"/>
    </row>
    <row r="17" spans="1:2" ht="12.75">
      <c r="A17" t="s">
        <v>671</v>
      </c>
      <c r="B17" s="657" t="s">
        <v>677</v>
      </c>
    </row>
    <row r="18" spans="1:2" ht="12.75">
      <c r="A18" s="655" t="s">
        <v>682</v>
      </c>
      <c r="B18" s="655"/>
    </row>
    <row r="19" spans="1:2" ht="12.75">
      <c r="A19" s="655" t="s">
        <v>683</v>
      </c>
      <c r="B19" s="655"/>
    </row>
    <row r="20" spans="1:2" ht="12.75">
      <c r="A20" s="655" t="s">
        <v>684</v>
      </c>
      <c r="B20" s="655"/>
    </row>
    <row r="21" ht="12.75">
      <c r="B21" s="656"/>
    </row>
    <row r="22" ht="12.75">
      <c r="B22" s="656"/>
    </row>
    <row r="23" spans="1:2" ht="12.75">
      <c r="A23" s="3" t="s">
        <v>685</v>
      </c>
      <c r="B23" s="656"/>
    </row>
    <row r="24" spans="1:2" ht="12.75">
      <c r="A24" t="s">
        <v>686</v>
      </c>
      <c r="B24" s="649">
        <f>8900/2000</f>
        <v>4.45</v>
      </c>
    </row>
    <row r="25" spans="1:2" ht="12.75">
      <c r="A25" t="s">
        <v>687</v>
      </c>
      <c r="B25" s="649">
        <f>8216/2000</f>
        <v>4.108</v>
      </c>
    </row>
    <row r="26" spans="1:2" ht="12.75">
      <c r="A26" t="s">
        <v>688</v>
      </c>
      <c r="B26" s="655"/>
    </row>
    <row r="27" ht="22.5" customHeight="1">
      <c r="A27" s="16" t="s">
        <v>689</v>
      </c>
    </row>
    <row r="28" ht="16.5" customHeight="1">
      <c r="B28" t="s">
        <v>290</v>
      </c>
    </row>
    <row r="29" spans="2:22" s="650" customFormat="1" ht="12.75">
      <c r="B29" s="650">
        <v>0</v>
      </c>
      <c r="C29" s="650">
        <v>10</v>
      </c>
      <c r="D29" s="650">
        <v>15</v>
      </c>
      <c r="E29" s="650">
        <v>20</v>
      </c>
      <c r="F29" s="650">
        <v>25</v>
      </c>
      <c r="G29" s="650">
        <v>30</v>
      </c>
      <c r="H29" s="650">
        <v>35</v>
      </c>
      <c r="I29" s="650">
        <v>40</v>
      </c>
      <c r="J29" s="650">
        <v>45</v>
      </c>
      <c r="K29" s="650">
        <v>50</v>
      </c>
      <c r="L29" s="650">
        <v>55</v>
      </c>
      <c r="M29" s="650">
        <v>60</v>
      </c>
      <c r="N29" s="650">
        <v>65</v>
      </c>
      <c r="O29" s="650">
        <v>70</v>
      </c>
      <c r="P29" s="650">
        <v>75</v>
      </c>
      <c r="Q29" s="650">
        <v>80</v>
      </c>
      <c r="R29" s="650">
        <v>85</v>
      </c>
      <c r="S29" s="650">
        <v>90</v>
      </c>
      <c r="T29" s="650">
        <v>95</v>
      </c>
      <c r="U29" s="650">
        <v>100</v>
      </c>
      <c r="V29" s="650">
        <v>105</v>
      </c>
    </row>
    <row r="30" ht="12.75">
      <c r="A30" s="3" t="s">
        <v>135</v>
      </c>
    </row>
    <row r="31" spans="1:5" ht="12.75">
      <c r="A31" t="s">
        <v>215</v>
      </c>
      <c r="B31" s="651" t="s">
        <v>690</v>
      </c>
      <c r="E31" s="652"/>
    </row>
    <row r="32" spans="1:9" ht="12.75">
      <c r="A32" t="s">
        <v>691</v>
      </c>
      <c r="E32" s="652"/>
      <c r="I32" s="652"/>
    </row>
    <row r="33" spans="9:13" ht="12.75">
      <c r="I33" s="652"/>
      <c r="M33" s="652"/>
    </row>
    <row r="34" spans="9:13" ht="12.75">
      <c r="I34" s="520"/>
      <c r="M34" s="652"/>
    </row>
    <row r="35" spans="1:13" ht="12.75">
      <c r="A35" s="3" t="s">
        <v>692</v>
      </c>
      <c r="I35" s="520"/>
      <c r="M35" s="520"/>
    </row>
    <row r="36" spans="1:17" ht="12.75">
      <c r="A36" t="s">
        <v>215</v>
      </c>
      <c r="B36" s="651" t="s">
        <v>693</v>
      </c>
      <c r="E36" s="653"/>
      <c r="H36" s="653"/>
      <c r="M36" s="520"/>
      <c r="Q36" s="520"/>
    </row>
    <row r="37" spans="1:17" ht="12.75">
      <c r="A37" t="s">
        <v>694</v>
      </c>
      <c r="E37" s="653"/>
      <c r="H37" s="653"/>
      <c r="M37" s="658"/>
      <c r="O37" s="653"/>
      <c r="Q37" s="520"/>
    </row>
    <row r="38" spans="13:22" ht="12.75">
      <c r="M38" s="658"/>
      <c r="O38" s="653"/>
      <c r="Q38" s="658"/>
      <c r="V38" s="653"/>
    </row>
    <row r="39" spans="15:22" ht="12.75">
      <c r="O39" s="659"/>
      <c r="Q39" s="658"/>
      <c r="U39" s="658"/>
      <c r="V39" s="653"/>
    </row>
    <row r="40" spans="1:22" ht="12.75">
      <c r="A40" s="3" t="s">
        <v>688</v>
      </c>
      <c r="B40" s="651" t="s">
        <v>690</v>
      </c>
      <c r="O40" s="659"/>
      <c r="Q40" s="660"/>
      <c r="U40" s="658"/>
      <c r="V40" s="659"/>
    </row>
    <row r="41" spans="1:22" ht="12.75">
      <c r="A41" t="s">
        <v>215</v>
      </c>
      <c r="Q41" s="660"/>
      <c r="U41" s="660"/>
      <c r="V41" s="659"/>
    </row>
    <row r="42" spans="1:22" ht="12.75">
      <c r="A42" t="s">
        <v>694</v>
      </c>
      <c r="U42" s="660"/>
      <c r="V42" s="661"/>
    </row>
    <row r="43" spans="21:22" ht="12.75">
      <c r="U43" s="662"/>
      <c r="V43" s="661"/>
    </row>
    <row r="44" ht="12.75">
      <c r="U44" s="662"/>
    </row>
    <row r="45" ht="12.75">
      <c r="U45" s="662"/>
    </row>
    <row r="46" ht="12.75">
      <c r="U46" s="662"/>
    </row>
    <row r="47" ht="12.75">
      <c r="U47" s="662"/>
    </row>
    <row r="48" spans="1:21" s="664" customFormat="1" ht="15.75">
      <c r="A48" s="663" t="s">
        <v>695</v>
      </c>
      <c r="B48" s="663">
        <f>SUM(E48:V48)</f>
        <v>0</v>
      </c>
      <c r="E48" s="664">
        <f>E31*B6</f>
        <v>0</v>
      </c>
      <c r="I48" s="664">
        <f>I32*B7+I34*B6</f>
        <v>0</v>
      </c>
      <c r="M48" s="664">
        <f>M33*$B$8+M35*$B$7+M37*$B$6</f>
        <v>0</v>
      </c>
      <c r="Q48" s="664">
        <f>Q36*$B$8+Q38*$B$7+Q40*$B$6</f>
        <v>0</v>
      </c>
      <c r="U48" s="664">
        <f>U39*B8+U41*B7</f>
        <v>0</v>
      </c>
    </row>
    <row r="49" spans="1:22" s="666" customFormat="1" ht="15.75">
      <c r="A49" s="665" t="s">
        <v>696</v>
      </c>
      <c r="B49" s="665">
        <f>SUM(E49:V49)</f>
        <v>0</v>
      </c>
      <c r="H49" s="666">
        <f>H36*B12</f>
        <v>0</v>
      </c>
      <c r="O49" s="666">
        <f>O37*B13+O39*B12</f>
        <v>0</v>
      </c>
      <c r="V49" s="666">
        <f>V38*B14+V40*B13+V42*B12</f>
        <v>0</v>
      </c>
    </row>
    <row r="50" spans="1:2" s="668" customFormat="1" ht="15" customHeight="1" thickBot="1">
      <c r="A50" s="667" t="s">
        <v>697</v>
      </c>
      <c r="B50" s="667"/>
    </row>
    <row r="51" spans="1:21" s="669" customFormat="1" ht="12.75">
      <c r="A51" s="669" t="s">
        <v>698</v>
      </c>
      <c r="E51" s="669">
        <f>E48*Prices!$B$55/1000</f>
        <v>0</v>
      </c>
      <c r="I51" s="669">
        <f>I48*Prices!B55/1000</f>
        <v>0</v>
      </c>
      <c r="M51" s="669">
        <f>M48*Prices!$B$55/1000</f>
        <v>0</v>
      </c>
      <c r="Q51" s="669">
        <f>Q48*Prices!$B$55/1000</f>
        <v>0</v>
      </c>
      <c r="U51" s="669">
        <f>U48*Prices!$B$55/1000</f>
        <v>0</v>
      </c>
    </row>
    <row r="52" spans="1:22" s="666" customFormat="1" ht="12.75">
      <c r="A52" s="666" t="s">
        <v>699</v>
      </c>
      <c r="H52" s="666">
        <f>H49*Prices!$B$53/1000</f>
        <v>0</v>
      </c>
      <c r="O52" s="666">
        <f>O49*Prices!$B$53/1000</f>
        <v>0</v>
      </c>
      <c r="V52" s="666">
        <f>V49*Prices!$B$53/1000</f>
        <v>0</v>
      </c>
    </row>
    <row r="53" s="520" customFormat="1" ht="15" customHeight="1">
      <c r="A53" s="520" t="s">
        <v>700</v>
      </c>
    </row>
    <row r="55" spans="1:21" s="68" customFormat="1" ht="15.75">
      <c r="A55" s="670" t="s">
        <v>701</v>
      </c>
      <c r="B55" s="671">
        <f>SUM(C55:V55)</f>
        <v>0</v>
      </c>
      <c r="E55" s="68">
        <f>E51/(1+'Farm &amp; Buffer Assumptions'!$C$74)^E29</f>
        <v>0</v>
      </c>
      <c r="I55" s="68">
        <f>I51/(1+'Farm &amp; Buffer Assumptions'!$C$74)^I29</f>
        <v>0</v>
      </c>
      <c r="M55" s="68">
        <f>M51/(1+'Farm &amp; Buffer Assumptions'!$C$74)^M29</f>
        <v>0</v>
      </c>
      <c r="Q55" s="68">
        <f>Q51/(1+'Farm &amp; Buffer Assumptions'!$C$74)^Q29</f>
        <v>0</v>
      </c>
      <c r="U55" s="68">
        <f>U51/(1+'Farm &amp; Buffer Assumptions'!$C$74)^U29</f>
        <v>0</v>
      </c>
    </row>
    <row r="56" spans="1:22" s="68" customFormat="1" ht="15.75">
      <c r="A56" s="670" t="s">
        <v>702</v>
      </c>
      <c r="B56" s="671">
        <f>SUM(C56:V56)</f>
        <v>0</v>
      </c>
      <c r="H56" s="68">
        <f>H52/(1+'Farm &amp; Buffer Assumptions'!$C$74)^H29</f>
        <v>0</v>
      </c>
      <c r="O56" s="68">
        <f>O52/(1+'Farm &amp; Buffer Assumptions'!$C$74)^O29</f>
        <v>0</v>
      </c>
      <c r="V56" s="68">
        <f>V52/(1+'Farm &amp; Buffer Assumptions'!$C$74)^V29</f>
        <v>0</v>
      </c>
    </row>
    <row r="57" spans="1:2" ht="15.75">
      <c r="A57" s="16" t="s">
        <v>703</v>
      </c>
      <c r="B57" s="671">
        <f>SUM(C57:V57)</f>
        <v>0</v>
      </c>
    </row>
    <row r="58" ht="15.75">
      <c r="A58" s="16"/>
    </row>
    <row r="59" ht="12.75">
      <c r="A59" t="s">
        <v>704</v>
      </c>
    </row>
    <row r="60" ht="12.75">
      <c r="A60" t="s">
        <v>705</v>
      </c>
    </row>
    <row r="61" spans="1:21" s="664" customFormat="1" ht="15.75">
      <c r="A61" s="664" t="s">
        <v>706</v>
      </c>
      <c r="B61" s="663">
        <f>SUM(C61:V61)</f>
        <v>0</v>
      </c>
      <c r="E61" s="664">
        <f>E48/1000*$B$24</f>
        <v>0</v>
      </c>
      <c r="I61" s="664">
        <f>I48/1000*$B$24</f>
        <v>0</v>
      </c>
      <c r="M61" s="664">
        <f>M48/1000*$B$24</f>
        <v>0</v>
      </c>
      <c r="Q61" s="664">
        <f>Q48/1000*$B$24</f>
        <v>0</v>
      </c>
      <c r="U61" s="664">
        <f>U48/1000*$B$24</f>
        <v>0</v>
      </c>
    </row>
    <row r="62" spans="1:22" s="666" customFormat="1" ht="15.75">
      <c r="A62" s="666" t="s">
        <v>707</v>
      </c>
      <c r="B62" s="665">
        <f>SUM(C62:V62)</f>
        <v>0</v>
      </c>
      <c r="H62" s="666">
        <f>H49/1000*$B$25</f>
        <v>0</v>
      </c>
      <c r="O62" s="666">
        <f>O49/1000*$B$25</f>
        <v>0</v>
      </c>
      <c r="V62" s="666">
        <f>V49/1000*$B$25</f>
        <v>0</v>
      </c>
    </row>
    <row r="63" spans="1:22" s="68" customFormat="1" ht="12.75">
      <c r="A63" s="68" t="s">
        <v>708</v>
      </c>
      <c r="E63" s="68">
        <f>E61*Prices!C46</f>
        <v>0</v>
      </c>
      <c r="H63" s="68">
        <f>H62*Prices!C46</f>
        <v>0</v>
      </c>
      <c r="I63" s="68">
        <f>I61*Prices!C46</f>
        <v>0</v>
      </c>
      <c r="M63" s="68">
        <f>M61*Prices!C46</f>
        <v>0</v>
      </c>
      <c r="O63" s="68">
        <f>O62*Prices!C46</f>
        <v>0</v>
      </c>
      <c r="Q63" s="68">
        <f>Q61*Prices!C46</f>
        <v>0</v>
      </c>
      <c r="U63" s="68">
        <f>U61*Prices!C46</f>
        <v>0</v>
      </c>
      <c r="V63" s="68">
        <f>V62*Prices!C46</f>
        <v>0</v>
      </c>
    </row>
    <row r="64" spans="1:22" s="68" customFormat="1" ht="12.75">
      <c r="A64" s="68" t="s">
        <v>709</v>
      </c>
      <c r="E64" s="68">
        <f>E61*Prices!C48</f>
        <v>0</v>
      </c>
      <c r="H64" s="68">
        <f>H62*Prices!C48</f>
        <v>0</v>
      </c>
      <c r="I64" s="68">
        <f>I61*Prices!C48</f>
        <v>0</v>
      </c>
      <c r="M64" s="68">
        <f>M61*Prices!C48</f>
        <v>0</v>
      </c>
      <c r="O64" s="68">
        <f>O62*Prices!C48</f>
        <v>0</v>
      </c>
      <c r="Q64" s="68">
        <f>Q61*Prices!C48</f>
        <v>0</v>
      </c>
      <c r="U64" s="68">
        <f>U61*Prices!C48</f>
        <v>0</v>
      </c>
      <c r="V64" s="68">
        <f>V62*Prices!C48</f>
        <v>0</v>
      </c>
    </row>
    <row r="66" spans="1:22" s="68" customFormat="1" ht="15.75">
      <c r="A66" s="670" t="s">
        <v>710</v>
      </c>
      <c r="B66" s="672">
        <f>SUM(C66:V66)</f>
        <v>0</v>
      </c>
      <c r="E66" s="68">
        <f>E63/(1+'Farm &amp; Buffer Assumptions'!$C$74)^E$29</f>
        <v>0</v>
      </c>
      <c r="H66" s="68">
        <f>H63/(1+'Farm &amp; Buffer Assumptions'!$C$74)^H$29</f>
        <v>0</v>
      </c>
      <c r="I66" s="68">
        <f>I63/(1+'Farm &amp; Buffer Assumptions'!$C$74)^I$29</f>
        <v>0</v>
      </c>
      <c r="M66" s="68">
        <f>M63/(1+'Farm &amp; Buffer Assumptions'!$C$74)^M$29</f>
        <v>0</v>
      </c>
      <c r="O66" s="68">
        <f>O63/(1+'Farm &amp; Buffer Assumptions'!$C$74)^O$29</f>
        <v>0</v>
      </c>
      <c r="Q66" s="68">
        <f>Q63/(1+'Farm &amp; Buffer Assumptions'!$C$74)^Q$29</f>
        <v>0</v>
      </c>
      <c r="U66" s="68">
        <f>U63/(1+'Farm &amp; Buffer Assumptions'!$C$74)^U$29</f>
        <v>0</v>
      </c>
      <c r="V66" s="68">
        <f>V63/(1+'Farm &amp; Buffer Assumptions'!$C$74)^V$29</f>
        <v>0</v>
      </c>
    </row>
    <row r="67" spans="1:22" s="68" customFormat="1" ht="15.75">
      <c r="A67" s="670" t="s">
        <v>711</v>
      </c>
      <c r="B67" s="672">
        <f>SUM(C67:V67)</f>
        <v>0</v>
      </c>
      <c r="E67" s="68">
        <f>E64/(1+'Farm &amp; Buffer Assumptions'!$C$74)^E$29</f>
        <v>0</v>
      </c>
      <c r="H67" s="68">
        <f>H64/(1+'Farm &amp; Buffer Assumptions'!$C$74)^H$29</f>
        <v>0</v>
      </c>
      <c r="I67" s="68">
        <f>I64/(1+'Farm &amp; Buffer Assumptions'!$C$74)^I$29</f>
        <v>0</v>
      </c>
      <c r="M67" s="68">
        <f>M64/(1+'Farm &amp; Buffer Assumptions'!$C$74)^M$29</f>
        <v>0</v>
      </c>
      <c r="O67" s="68">
        <f>O64/(1+'Farm &amp; Buffer Assumptions'!$C$74)^O$29</f>
        <v>0</v>
      </c>
      <c r="Q67" s="68">
        <f>Q64/(1+'Farm &amp; Buffer Assumptions'!$C$74)^Q$29</f>
        <v>0</v>
      </c>
      <c r="U67" s="68">
        <f>U64/(1+'Farm &amp; Buffer Assumptions'!$C$74)^U$29</f>
        <v>0</v>
      </c>
      <c r="V67" s="68">
        <f>V64/(1+'Farm &amp; Buffer Assumptions'!$C$74)^V$29</f>
        <v>0</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43"/>
  <sheetViews>
    <sheetView showGridLines="0" workbookViewId="0" topLeftCell="A1">
      <selection activeCell="A1" sqref="A1:E1"/>
    </sheetView>
  </sheetViews>
  <sheetFormatPr defaultColWidth="9.140625" defaultRowHeight="12.75"/>
  <cols>
    <col min="1" max="1" width="40.57421875" style="0" customWidth="1"/>
    <col min="2" max="2" width="16.28125" style="0" customWidth="1"/>
    <col min="3" max="3" width="16.00390625" style="0" customWidth="1"/>
    <col min="4" max="4" width="15.140625" style="0" customWidth="1"/>
    <col min="5" max="5" width="14.8515625" style="0" customWidth="1"/>
    <col min="7" max="7" width="67.28125" style="0" customWidth="1"/>
  </cols>
  <sheetData>
    <row r="1" spans="1:7" ht="46.5" customHeight="1" thickBot="1">
      <c r="A1" s="738" t="s">
        <v>634</v>
      </c>
      <c r="B1" s="739"/>
      <c r="C1" s="739"/>
      <c r="D1" s="739"/>
      <c r="E1" s="739"/>
      <c r="G1" s="713" t="s">
        <v>661</v>
      </c>
    </row>
    <row r="2" spans="1:7" ht="21" customHeight="1">
      <c r="A2" s="740" t="s">
        <v>646</v>
      </c>
      <c r="B2" s="485" t="s">
        <v>635</v>
      </c>
      <c r="C2" s="485" t="s">
        <v>636</v>
      </c>
      <c r="D2" s="720" t="s">
        <v>749</v>
      </c>
      <c r="E2" s="485" t="s">
        <v>24</v>
      </c>
      <c r="G2" s="714" t="s">
        <v>730</v>
      </c>
    </row>
    <row r="3" spans="1:7" ht="21" customHeight="1" thickBot="1">
      <c r="A3" s="741"/>
      <c r="B3" s="486" t="s">
        <v>637</v>
      </c>
      <c r="C3" s="486" t="s">
        <v>637</v>
      </c>
      <c r="D3" s="721" t="s">
        <v>119</v>
      </c>
      <c r="E3" s="486" t="s">
        <v>119</v>
      </c>
      <c r="G3" s="715" t="s">
        <v>736</v>
      </c>
    </row>
    <row r="4" spans="1:7" ht="21" customHeight="1">
      <c r="A4" s="487" t="s">
        <v>638</v>
      </c>
      <c r="B4" s="723">
        <f>SUM('Farm &amp; Buffer Assumptions'!C66:C67)</f>
        <v>100</v>
      </c>
      <c r="C4" s="724">
        <f>B4-'Buffer Builder'!B92</f>
        <v>85.07805325987144</v>
      </c>
      <c r="D4" s="728">
        <f aca="true" t="shared" si="0" ref="D4:D9">C4-B4</f>
        <v>-14.921946740128561</v>
      </c>
      <c r="E4" s="726">
        <f>C4/B4-1</f>
        <v>-0.14921946740128567</v>
      </c>
      <c r="G4" s="715" t="s">
        <v>740</v>
      </c>
    </row>
    <row r="5" spans="1:7" ht="21" customHeight="1">
      <c r="A5" s="479" t="s">
        <v>639</v>
      </c>
      <c r="B5" s="489">
        <f>'Budget w.o. buffer'!E11</f>
        <v>42931.724</v>
      </c>
      <c r="C5" s="490">
        <f>'Budget with buffer '!E12</f>
        <v>42931.724</v>
      </c>
      <c r="D5" s="728">
        <f t="shared" si="0"/>
        <v>0</v>
      </c>
      <c r="E5" s="727">
        <f>C5/B5-1</f>
        <v>0</v>
      </c>
      <c r="G5" s="716" t="s">
        <v>731</v>
      </c>
    </row>
    <row r="6" spans="1:7" ht="21" customHeight="1">
      <c r="A6" s="479" t="s">
        <v>640</v>
      </c>
      <c r="B6" s="489">
        <f>'Budget w.o. buffer'!E38</f>
        <v>41174.333150599996</v>
      </c>
      <c r="C6" s="490">
        <f>'Budget with buffer '!E40</f>
        <v>47889.12161215907</v>
      </c>
      <c r="D6" s="728">
        <f t="shared" si="0"/>
        <v>6714.788461559074</v>
      </c>
      <c r="E6" s="727">
        <f>C6/B6-1</f>
        <v>0.16308189951732643</v>
      </c>
      <c r="G6" s="715" t="s">
        <v>662</v>
      </c>
    </row>
    <row r="7" spans="1:7" ht="21" customHeight="1">
      <c r="A7" s="479" t="s">
        <v>539</v>
      </c>
      <c r="B7" s="489">
        <f>'Budget w.o. buffer'!E55</f>
        <v>17821.60798895149</v>
      </c>
      <c r="C7" s="490">
        <f>'Budget with buffer '!E57</f>
        <v>17821.60798895149</v>
      </c>
      <c r="D7" s="728">
        <f t="shared" si="0"/>
        <v>0</v>
      </c>
      <c r="E7" s="727">
        <f>C7/B7-1</f>
        <v>0</v>
      </c>
      <c r="G7" s="715" t="s">
        <v>745</v>
      </c>
    </row>
    <row r="8" spans="1:7" ht="21" customHeight="1">
      <c r="A8" s="479" t="s">
        <v>739</v>
      </c>
      <c r="B8" s="489">
        <f>SUM('Budget w.o. buffer'!E58:E60)</f>
        <v>8334.5862</v>
      </c>
      <c r="C8" s="490">
        <f>SUM('Budget with buffer '!E60:E62)</f>
        <v>8334.5862</v>
      </c>
      <c r="D8" s="728">
        <f t="shared" si="0"/>
        <v>0</v>
      </c>
      <c r="E8" s="727">
        <f>C8/B8-1</f>
        <v>0</v>
      </c>
      <c r="G8" s="715"/>
    </row>
    <row r="9" spans="1:7" ht="21" customHeight="1">
      <c r="A9" s="479" t="s">
        <v>641</v>
      </c>
      <c r="B9" s="489">
        <f>'Budget w.o. buffer'!E62</f>
        <v>-24398.803339551494</v>
      </c>
      <c r="C9" s="490">
        <f>'Budget with buffer '!E64</f>
        <v>-31113.591801110568</v>
      </c>
      <c r="D9" s="728">
        <f t="shared" si="0"/>
        <v>-6714.788461559074</v>
      </c>
      <c r="E9" s="727">
        <f>IF(B9&lt;0,-(C9/B9-1),C9/B9-1)</f>
        <v>-0.2752097456629816</v>
      </c>
      <c r="G9" s="716" t="s">
        <v>732</v>
      </c>
    </row>
    <row r="10" spans="4:7" ht="21" customHeight="1">
      <c r="D10" s="725"/>
      <c r="G10" s="715" t="s">
        <v>746</v>
      </c>
    </row>
    <row r="11" spans="1:7" ht="21" customHeight="1">
      <c r="A11" s="491" t="s">
        <v>642</v>
      </c>
      <c r="G11" s="719" t="s">
        <v>664</v>
      </c>
    </row>
    <row r="12" spans="1:7" ht="21" customHeight="1">
      <c r="A12" s="487" t="s">
        <v>643</v>
      </c>
      <c r="B12" s="495">
        <f>'Buffer Builder'!B92</f>
        <v>14.921946740128558</v>
      </c>
      <c r="C12" s="68"/>
      <c r="D12" s="68"/>
      <c r="E12" s="492"/>
      <c r="G12" s="719"/>
    </row>
    <row r="13" spans="1:7" ht="21" customHeight="1">
      <c r="A13" s="479" t="s">
        <v>668</v>
      </c>
      <c r="B13" s="493">
        <f>'Buffer Builder'!C144</f>
        <v>-66646.25634664908</v>
      </c>
      <c r="G13" s="717" t="s">
        <v>663</v>
      </c>
    </row>
    <row r="14" spans="1:7" ht="21" customHeight="1">
      <c r="A14" s="722" t="s">
        <v>737</v>
      </c>
      <c r="B14" s="730">
        <f>IF('Farm &amp; Buffer Assumptions'!C85=10,'Buffer Builder'!B151,IF('Farm &amp; Buffer Assumptions'!C85=15,'Buffer Builder'!B155,IF('Farm &amp; Buffer Assumptions'!C85=25,'Buffer Builder'!B159,IF('Farm &amp; Buffer Assumptions'!C85=50,'Buffer Builder'!B163))))</f>
        <v>-5994.237631423571</v>
      </c>
      <c r="G14" s="715" t="s">
        <v>734</v>
      </c>
    </row>
    <row r="15" spans="1:7" ht="21" customHeight="1">
      <c r="A15" s="479" t="s">
        <v>738</v>
      </c>
      <c r="B15" s="493">
        <f>'Buffer Builder'!C145</f>
        <v>-4466.324502246206</v>
      </c>
      <c r="G15" s="715"/>
    </row>
    <row r="16" spans="1:7" ht="21" customHeight="1">
      <c r="A16" s="10"/>
      <c r="B16" s="68"/>
      <c r="G16" s="718"/>
    </row>
    <row r="17" spans="1:7" ht="21" customHeight="1">
      <c r="A17" t="s">
        <v>644</v>
      </c>
      <c r="G17" s="717" t="s">
        <v>733</v>
      </c>
    </row>
    <row r="18" spans="1:7" ht="21" customHeight="1">
      <c r="A18" t="s">
        <v>645</v>
      </c>
      <c r="G18" s="718" t="s">
        <v>734</v>
      </c>
    </row>
    <row r="19" ht="21" customHeight="1">
      <c r="G19" s="718"/>
    </row>
    <row r="20" spans="1:7" ht="21" customHeight="1">
      <c r="A20" s="187" t="s">
        <v>346</v>
      </c>
      <c r="B20" s="494">
        <f>B5-SUM(B6:B8)</f>
        <v>-24398.803339551494</v>
      </c>
      <c r="C20" s="494">
        <f>C5-SUM(C6:C8)</f>
        <v>-31113.591801110568</v>
      </c>
      <c r="G20" s="717" t="s">
        <v>741</v>
      </c>
    </row>
    <row r="21" ht="21" customHeight="1">
      <c r="G21" s="715"/>
    </row>
    <row r="22" ht="21" customHeight="1">
      <c r="G22" s="716" t="s">
        <v>735</v>
      </c>
    </row>
    <row r="23" ht="21" customHeight="1">
      <c r="G23" s="715"/>
    </row>
    <row r="24" ht="21" customHeight="1">
      <c r="G24" s="715"/>
    </row>
    <row r="25" ht="21" customHeight="1">
      <c r="G25" s="715"/>
    </row>
    <row r="26" ht="12.75">
      <c r="G26" s="715"/>
    </row>
    <row r="27" ht="12.75">
      <c r="G27" s="715"/>
    </row>
    <row r="28" ht="12.75">
      <c r="G28" s="715"/>
    </row>
    <row r="29" ht="12.75">
      <c r="G29" s="715"/>
    </row>
    <row r="30" ht="12.75">
      <c r="G30" s="715"/>
    </row>
    <row r="31" ht="12.75">
      <c r="G31" s="715"/>
    </row>
    <row r="32" ht="12.75">
      <c r="G32" s="715"/>
    </row>
    <row r="33" ht="12.75">
      <c r="G33" s="715"/>
    </row>
    <row r="34" ht="12.75">
      <c r="G34" s="715"/>
    </row>
    <row r="35" ht="12.75">
      <c r="G35" s="715"/>
    </row>
    <row r="36" ht="12.75">
      <c r="G36" s="715"/>
    </row>
    <row r="37" ht="12.75">
      <c r="G37" s="715"/>
    </row>
    <row r="38" spans="4:7" ht="12.75">
      <c r="D38" s="494"/>
      <c r="G38" s="715"/>
    </row>
    <row r="39" ht="12.75">
      <c r="G39" s="715"/>
    </row>
    <row r="40" ht="12.75">
      <c r="G40" s="715"/>
    </row>
    <row r="41" ht="12.75">
      <c r="G41" s="711"/>
    </row>
    <row r="42" ht="12.75">
      <c r="G42" s="711"/>
    </row>
    <row r="43" ht="12.75">
      <c r="G43" s="712"/>
    </row>
  </sheetData>
  <mergeCells count="2">
    <mergeCell ref="A1:E1"/>
    <mergeCell ref="A2:A3"/>
  </mergeCells>
  <printOptions/>
  <pageMargins left="0.5" right="0.5" top="0.5" bottom="0.5" header="0.5" footer="0.5"/>
  <pageSetup fitToWidth="2" fitToHeight="1" orientation="landscape" scale="67" r:id="rId4"/>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F130"/>
  <sheetViews>
    <sheetView showGridLines="0" workbookViewId="0" topLeftCell="A1">
      <selection activeCell="A1" sqref="A1"/>
    </sheetView>
  </sheetViews>
  <sheetFormatPr defaultColWidth="9.140625" defaultRowHeight="12.75"/>
  <cols>
    <col min="1" max="1" width="58.28125" style="0" customWidth="1"/>
    <col min="2" max="2" width="13.7109375" style="0" customWidth="1"/>
    <col min="3" max="3" width="12.28125" style="0" customWidth="1"/>
    <col min="4" max="4" width="45.8515625" style="1" customWidth="1"/>
  </cols>
  <sheetData>
    <row r="1" ht="18.75" thickBot="1">
      <c r="A1" s="19" t="s">
        <v>110</v>
      </c>
    </row>
    <row r="2" spans="1:4" ht="24.75" customHeight="1" thickBot="1">
      <c r="A2" s="523" t="s">
        <v>62</v>
      </c>
      <c r="B2" s="426" t="s">
        <v>0</v>
      </c>
      <c r="C2" s="426" t="s">
        <v>22</v>
      </c>
      <c r="D2" s="426" t="s">
        <v>59</v>
      </c>
    </row>
    <row r="3" spans="1:4" ht="18" customHeight="1">
      <c r="A3" s="130" t="s">
        <v>264</v>
      </c>
      <c r="B3" s="44" t="s">
        <v>13</v>
      </c>
      <c r="C3" s="286">
        <v>100</v>
      </c>
      <c r="D3" s="45"/>
    </row>
    <row r="4" spans="1:4" ht="18" customHeight="1">
      <c r="A4" s="130" t="s">
        <v>545</v>
      </c>
      <c r="B4" s="38" t="s">
        <v>25</v>
      </c>
      <c r="C4" s="355">
        <v>5</v>
      </c>
      <c r="D4" s="106"/>
    </row>
    <row r="5" spans="1:4" ht="18" customHeight="1">
      <c r="A5" s="130" t="s">
        <v>490</v>
      </c>
      <c r="B5" s="38" t="s">
        <v>24</v>
      </c>
      <c r="C5" s="301">
        <v>0.17</v>
      </c>
      <c r="D5" s="106"/>
    </row>
    <row r="6" spans="1:4" ht="18" customHeight="1">
      <c r="A6" s="46" t="s">
        <v>21</v>
      </c>
      <c r="B6" s="25" t="s">
        <v>24</v>
      </c>
      <c r="C6" s="287">
        <v>0.02</v>
      </c>
      <c r="D6" s="47" t="s">
        <v>489</v>
      </c>
    </row>
    <row r="7" spans="1:4" ht="18" customHeight="1">
      <c r="A7" s="130" t="s">
        <v>484</v>
      </c>
      <c r="B7" s="38" t="s">
        <v>24</v>
      </c>
      <c r="C7" s="301">
        <v>0.9</v>
      </c>
      <c r="D7" s="47" t="s">
        <v>489</v>
      </c>
    </row>
    <row r="8" spans="1:4" ht="18" customHeight="1">
      <c r="A8" s="50" t="s">
        <v>485</v>
      </c>
      <c r="B8" s="38" t="s">
        <v>24</v>
      </c>
      <c r="C8" s="287">
        <v>0.5</v>
      </c>
      <c r="D8" s="47" t="s">
        <v>489</v>
      </c>
    </row>
    <row r="9" spans="1:4" ht="18" customHeight="1">
      <c r="A9" s="50" t="s">
        <v>486</v>
      </c>
      <c r="B9" s="38" t="s">
        <v>24</v>
      </c>
      <c r="C9" s="287">
        <v>0.5</v>
      </c>
      <c r="D9" s="47" t="s">
        <v>489</v>
      </c>
    </row>
    <row r="10" spans="1:4" ht="18" customHeight="1">
      <c r="A10" s="50" t="s">
        <v>487</v>
      </c>
      <c r="B10" s="38" t="s">
        <v>24</v>
      </c>
      <c r="C10" s="287">
        <v>0.52</v>
      </c>
      <c r="D10" s="47" t="s">
        <v>489</v>
      </c>
    </row>
    <row r="11" spans="1:4" ht="18" customHeight="1">
      <c r="A11" s="50" t="s">
        <v>488</v>
      </c>
      <c r="B11" s="25" t="s">
        <v>24</v>
      </c>
      <c r="C11" s="287">
        <v>0.17</v>
      </c>
      <c r="D11" s="47" t="s">
        <v>489</v>
      </c>
    </row>
    <row r="12" spans="1:4" ht="18" customHeight="1">
      <c r="A12" s="50" t="s">
        <v>541</v>
      </c>
      <c r="B12" s="359" t="s">
        <v>13</v>
      </c>
      <c r="C12" s="293">
        <v>3</v>
      </c>
      <c r="D12" s="47"/>
    </row>
    <row r="13" spans="1:4" ht="18" customHeight="1">
      <c r="A13" s="50" t="s">
        <v>542</v>
      </c>
      <c r="B13" s="359" t="s">
        <v>25</v>
      </c>
      <c r="C13" s="293">
        <v>4</v>
      </c>
      <c r="D13" s="47"/>
    </row>
    <row r="14" spans="1:4" ht="18" customHeight="1">
      <c r="A14" s="51" t="s">
        <v>543</v>
      </c>
      <c r="B14" s="532"/>
      <c r="C14" s="533">
        <v>1</v>
      </c>
      <c r="D14" s="48"/>
    </row>
    <row r="15" ht="18" customHeight="1">
      <c r="D15"/>
    </row>
    <row r="16" spans="1:4" ht="18" customHeight="1">
      <c r="A16" s="16" t="s">
        <v>574</v>
      </c>
      <c r="D16"/>
    </row>
    <row r="17" spans="1:4" ht="18" customHeight="1">
      <c r="A17" s="10"/>
      <c r="B17" s="10"/>
      <c r="C17" s="356"/>
      <c r="D17" s="9"/>
    </row>
    <row r="18" spans="1:4" ht="18" customHeight="1">
      <c r="A18" s="10"/>
      <c r="B18" s="10"/>
      <c r="C18" s="356"/>
      <c r="D18" s="9"/>
    </row>
    <row r="19" spans="1:4" ht="18" customHeight="1">
      <c r="A19" s="10"/>
      <c r="B19" s="10"/>
      <c r="C19" s="356"/>
      <c r="D19" s="9"/>
    </row>
    <row r="20" spans="1:4" ht="18" customHeight="1">
      <c r="A20" s="10"/>
      <c r="B20" s="10"/>
      <c r="C20" s="356"/>
      <c r="D20" s="9"/>
    </row>
    <row r="21" spans="1:4" ht="18" customHeight="1">
      <c r="A21" s="10"/>
      <c r="B21" s="10"/>
      <c r="C21" s="356"/>
      <c r="D21" s="9"/>
    </row>
    <row r="22" spans="1:4" ht="18" customHeight="1">
      <c r="A22" s="10"/>
      <c r="B22" s="10"/>
      <c r="C22" s="356"/>
      <c r="D22" s="9"/>
    </row>
    <row r="23" spans="1:4" ht="18" customHeight="1">
      <c r="A23" s="10"/>
      <c r="B23" s="10"/>
      <c r="C23" s="356"/>
      <c r="D23" s="9"/>
    </row>
    <row r="24" spans="1:4" ht="18" customHeight="1">
      <c r="A24" s="10"/>
      <c r="B24" s="10"/>
      <c r="C24" s="356"/>
      <c r="D24" s="9"/>
    </row>
    <row r="25" spans="1:4" ht="18" customHeight="1">
      <c r="A25" s="10"/>
      <c r="B25" s="10"/>
      <c r="C25" s="356"/>
      <c r="D25" s="9"/>
    </row>
    <row r="26" spans="1:4" ht="18" customHeight="1">
      <c r="A26" s="10"/>
      <c r="B26" s="10"/>
      <c r="C26" s="356"/>
      <c r="D26" s="9"/>
    </row>
    <row r="27" spans="1:4" ht="18" customHeight="1">
      <c r="A27" s="10"/>
      <c r="B27" s="10"/>
      <c r="C27" s="356"/>
      <c r="D27" s="9"/>
    </row>
    <row r="28" spans="1:4" ht="18" customHeight="1">
      <c r="A28" s="10"/>
      <c r="B28" s="10"/>
      <c r="C28" s="356"/>
      <c r="D28" s="9"/>
    </row>
    <row r="29" spans="1:4" ht="18" customHeight="1">
      <c r="A29" s="10"/>
      <c r="B29" s="10"/>
      <c r="C29" s="356"/>
      <c r="D29" s="9"/>
    </row>
    <row r="30" spans="1:4" ht="18" customHeight="1">
      <c r="A30" s="10"/>
      <c r="B30" s="10"/>
      <c r="C30" s="356"/>
      <c r="D30" s="9"/>
    </row>
    <row r="31" ht="20.25" customHeight="1">
      <c r="D31"/>
    </row>
    <row r="32" spans="1:4" ht="18" customHeight="1">
      <c r="A32" s="524" t="s">
        <v>575</v>
      </c>
      <c r="B32" s="525" t="s">
        <v>623</v>
      </c>
      <c r="D32"/>
    </row>
    <row r="33" spans="1:4" ht="18" customHeight="1">
      <c r="A33" s="43" t="s">
        <v>576</v>
      </c>
      <c r="B33" s="534">
        <f>C3</f>
        <v>100</v>
      </c>
      <c r="D33"/>
    </row>
    <row r="34" spans="1:4" ht="18" customHeight="1">
      <c r="A34" s="46" t="s">
        <v>578</v>
      </c>
      <c r="B34" s="535">
        <f>SUM(C5:C6)*B33</f>
        <v>19</v>
      </c>
      <c r="D34"/>
    </row>
    <row r="35" spans="1:4" ht="18" customHeight="1">
      <c r="A35" s="46" t="s">
        <v>577</v>
      </c>
      <c r="B35" s="535">
        <f>C7*B33</f>
        <v>90</v>
      </c>
      <c r="D35"/>
    </row>
    <row r="36" spans="1:4" ht="18" customHeight="1">
      <c r="A36" s="50" t="s">
        <v>653</v>
      </c>
      <c r="B36" s="535">
        <f>C8*B35</f>
        <v>45</v>
      </c>
      <c r="C36" s="356"/>
      <c r="D36" s="9"/>
    </row>
    <row r="37" spans="1:4" ht="18" customHeight="1">
      <c r="A37" s="50" t="s">
        <v>654</v>
      </c>
      <c r="B37" s="535">
        <f>C9*B35</f>
        <v>45</v>
      </c>
      <c r="C37" s="356"/>
      <c r="D37" s="9"/>
    </row>
    <row r="38" spans="1:4" ht="18" customHeight="1">
      <c r="A38" s="50" t="s">
        <v>579</v>
      </c>
      <c r="B38" s="536">
        <f>C10*B37</f>
        <v>23.400000000000002</v>
      </c>
      <c r="C38" s="356"/>
      <c r="D38" s="9"/>
    </row>
    <row r="39" spans="1:4" ht="18" customHeight="1">
      <c r="A39" s="50" t="s">
        <v>580</v>
      </c>
      <c r="B39" s="536">
        <f>C11*B38</f>
        <v>3.9780000000000006</v>
      </c>
      <c r="C39" s="356"/>
      <c r="D39" s="9"/>
    </row>
    <row r="40" spans="1:4" ht="18" customHeight="1">
      <c r="A40" s="51" t="s">
        <v>581</v>
      </c>
      <c r="B40" s="537">
        <f>B38-B39</f>
        <v>19.422</v>
      </c>
      <c r="C40" s="356"/>
      <c r="D40" s="9"/>
    </row>
    <row r="41" spans="1:4" ht="18" customHeight="1">
      <c r="A41" s="29"/>
      <c r="B41" s="626"/>
      <c r="C41" s="356"/>
      <c r="D41" s="9"/>
    </row>
    <row r="42" spans="1:4" ht="18" customHeight="1" thickBot="1">
      <c r="A42" s="461" t="s">
        <v>553</v>
      </c>
      <c r="B42" s="10"/>
      <c r="C42" s="356"/>
      <c r="D42" s="9"/>
    </row>
    <row r="43" spans="1:4" ht="51" customHeight="1" thickBot="1">
      <c r="A43" s="527" t="s">
        <v>546</v>
      </c>
      <c r="B43" s="528" t="s">
        <v>547</v>
      </c>
      <c r="C43" s="528" t="s">
        <v>548</v>
      </c>
      <c r="D43" s="529" t="s">
        <v>549</v>
      </c>
    </row>
    <row r="44" spans="1:4" ht="18" customHeight="1">
      <c r="A44" s="538" t="s">
        <v>550</v>
      </c>
      <c r="B44" s="539"/>
      <c r="C44" s="540">
        <v>2</v>
      </c>
      <c r="D44" s="541">
        <v>180</v>
      </c>
    </row>
    <row r="45" spans="1:4" ht="18" customHeight="1">
      <c r="A45" s="50" t="s">
        <v>550</v>
      </c>
      <c r="B45" s="360">
        <v>13</v>
      </c>
      <c r="C45" s="542"/>
      <c r="D45" s="543">
        <v>120</v>
      </c>
    </row>
    <row r="46" spans="1:4" ht="18" customHeight="1">
      <c r="A46" s="50" t="s">
        <v>551</v>
      </c>
      <c r="B46" s="360">
        <v>25</v>
      </c>
      <c r="C46" s="542"/>
      <c r="D46" s="543">
        <v>120</v>
      </c>
    </row>
    <row r="47" spans="1:4" ht="18" customHeight="1">
      <c r="A47" s="50" t="s">
        <v>544</v>
      </c>
      <c r="B47" s="360">
        <v>28</v>
      </c>
      <c r="C47" s="542"/>
      <c r="D47" s="543">
        <v>120</v>
      </c>
    </row>
    <row r="48" spans="1:4" ht="18" customHeight="1">
      <c r="A48" s="50" t="s">
        <v>552</v>
      </c>
      <c r="B48" s="360">
        <v>20</v>
      </c>
      <c r="C48" s="542"/>
      <c r="D48" s="543">
        <v>120</v>
      </c>
    </row>
    <row r="49" spans="1:4" ht="18" customHeight="1">
      <c r="A49" s="51" t="s">
        <v>583</v>
      </c>
      <c r="B49" s="544">
        <v>1.5</v>
      </c>
      <c r="C49" s="545" t="s">
        <v>141</v>
      </c>
      <c r="D49" s="546">
        <v>360</v>
      </c>
    </row>
    <row r="50" spans="1:4" ht="18" customHeight="1" thickBot="1">
      <c r="A50" s="10"/>
      <c r="B50" s="10"/>
      <c r="C50" s="356"/>
      <c r="D50" s="9"/>
    </row>
    <row r="51" spans="1:4" ht="24" customHeight="1" thickBot="1">
      <c r="A51" s="523" t="s">
        <v>459</v>
      </c>
      <c r="B51" s="426" t="s">
        <v>0</v>
      </c>
      <c r="C51" s="426" t="s">
        <v>22</v>
      </c>
      <c r="D51" s="426" t="s">
        <v>59</v>
      </c>
    </row>
    <row r="52" spans="1:6" ht="18" customHeight="1">
      <c r="A52" s="551" t="s">
        <v>453</v>
      </c>
      <c r="B52" s="552" t="s">
        <v>12</v>
      </c>
      <c r="C52" s="553">
        <v>5.5</v>
      </c>
      <c r="D52" s="549" t="s">
        <v>460</v>
      </c>
      <c r="F52">
        <v>1</v>
      </c>
    </row>
    <row r="53" spans="1:4" ht="18" customHeight="1">
      <c r="A53" s="46" t="s">
        <v>454</v>
      </c>
      <c r="B53" s="25" t="s">
        <v>12</v>
      </c>
      <c r="C53" s="292">
        <v>5</v>
      </c>
      <c r="D53" s="47"/>
    </row>
    <row r="54" spans="1:4" ht="18" customHeight="1">
      <c r="A54" s="46" t="s">
        <v>455</v>
      </c>
      <c r="B54" s="25" t="s">
        <v>12</v>
      </c>
      <c r="C54" s="292">
        <v>16.5</v>
      </c>
      <c r="D54" s="47"/>
    </row>
    <row r="55" spans="1:4" ht="18" customHeight="1">
      <c r="A55" s="46" t="s">
        <v>456</v>
      </c>
      <c r="B55" s="25" t="s">
        <v>12</v>
      </c>
      <c r="C55" s="292">
        <v>11</v>
      </c>
      <c r="D55" s="47"/>
    </row>
    <row r="56" spans="1:4" ht="18" customHeight="1">
      <c r="A56" s="514" t="s">
        <v>457</v>
      </c>
      <c r="B56" s="515" t="s">
        <v>12</v>
      </c>
      <c r="C56" s="281">
        <v>9</v>
      </c>
      <c r="D56" s="48"/>
    </row>
    <row r="57" spans="1:4" ht="21" customHeight="1" thickBot="1">
      <c r="A57" s="8"/>
      <c r="B57" s="8"/>
      <c r="C57" s="201"/>
      <c r="D57" s="7"/>
    </row>
    <row r="58" spans="1:4" ht="24" customHeight="1" thickBot="1">
      <c r="A58" s="523" t="s">
        <v>63</v>
      </c>
      <c r="B58" s="426" t="s">
        <v>0</v>
      </c>
      <c r="C58" s="426" t="s">
        <v>22</v>
      </c>
      <c r="D58" s="426" t="s">
        <v>59</v>
      </c>
    </row>
    <row r="59" spans="1:4" ht="18" customHeight="1">
      <c r="A59" s="538" t="s">
        <v>60</v>
      </c>
      <c r="B59" s="547" t="s">
        <v>510</v>
      </c>
      <c r="C59" s="548">
        <v>0.05</v>
      </c>
      <c r="D59" s="549"/>
    </row>
    <row r="60" spans="1:4" ht="18" customHeight="1">
      <c r="A60" s="50" t="s">
        <v>255</v>
      </c>
      <c r="B60" s="27" t="s">
        <v>61</v>
      </c>
      <c r="C60" s="550">
        <f>364*2</f>
        <v>728</v>
      </c>
      <c r="D60" s="47"/>
    </row>
    <row r="61" spans="1:4" ht="25.5">
      <c r="A61" s="50" t="s">
        <v>608</v>
      </c>
      <c r="B61" s="27" t="s">
        <v>61</v>
      </c>
      <c r="C61" s="196">
        <f>C60/C3</f>
        <v>7.28</v>
      </c>
      <c r="D61" s="47" t="s">
        <v>108</v>
      </c>
    </row>
    <row r="62" spans="1:4" ht="18" customHeight="1">
      <c r="A62" s="51" t="s">
        <v>609</v>
      </c>
      <c r="B62" s="52" t="s">
        <v>61</v>
      </c>
      <c r="C62" s="281">
        <v>2</v>
      </c>
      <c r="D62" s="48"/>
    </row>
    <row r="63" spans="1:4" ht="19.5" customHeight="1" thickBot="1">
      <c r="A63" s="29"/>
      <c r="B63" s="9"/>
      <c r="C63" s="197"/>
      <c r="D63" s="9"/>
    </row>
    <row r="64" spans="1:4" ht="24" customHeight="1" thickBot="1">
      <c r="A64" s="523" t="s">
        <v>66</v>
      </c>
      <c r="B64" s="426" t="s">
        <v>0</v>
      </c>
      <c r="C64" s="426" t="s">
        <v>22</v>
      </c>
      <c r="D64" s="426" t="s">
        <v>59</v>
      </c>
    </row>
    <row r="65" spans="1:4" ht="18.75" customHeight="1">
      <c r="A65" s="554" t="s">
        <v>448</v>
      </c>
      <c r="B65" s="555" t="s">
        <v>15</v>
      </c>
      <c r="C65" s="556">
        <v>105</v>
      </c>
      <c r="D65" s="557"/>
    </row>
    <row r="66" spans="1:4" ht="18" customHeight="1">
      <c r="A66" s="59" t="s">
        <v>449</v>
      </c>
      <c r="B66" s="40" t="s">
        <v>15</v>
      </c>
      <c r="C66" s="282">
        <v>100</v>
      </c>
      <c r="D66" s="55"/>
    </row>
    <row r="67" spans="1:4" ht="18" customHeight="1">
      <c r="A67" s="59" t="s">
        <v>450</v>
      </c>
      <c r="B67" s="60" t="s">
        <v>15</v>
      </c>
      <c r="C67" s="282">
        <v>0</v>
      </c>
      <c r="D67" s="55" t="s">
        <v>65</v>
      </c>
    </row>
    <row r="68" spans="1:4" ht="18" customHeight="1">
      <c r="A68" s="59" t="s">
        <v>58</v>
      </c>
      <c r="B68" s="60" t="s">
        <v>24</v>
      </c>
      <c r="C68" s="283">
        <v>0.0128505</v>
      </c>
      <c r="D68" s="55"/>
    </row>
    <row r="69" spans="1:4" ht="18" customHeight="1">
      <c r="A69" s="54" t="s">
        <v>233</v>
      </c>
      <c r="B69" s="40" t="s">
        <v>24</v>
      </c>
      <c r="C69" s="284">
        <v>0.05</v>
      </c>
      <c r="D69" s="55"/>
    </row>
    <row r="70" spans="1:4" ht="18" customHeight="1">
      <c r="A70" s="54" t="s">
        <v>482</v>
      </c>
      <c r="B70" s="40" t="s">
        <v>24</v>
      </c>
      <c r="C70" s="284">
        <v>0.07</v>
      </c>
      <c r="D70" s="55"/>
    </row>
    <row r="71" spans="1:4" ht="21" customHeight="1">
      <c r="A71" s="61" t="s">
        <v>53</v>
      </c>
      <c r="B71" s="56" t="s">
        <v>24</v>
      </c>
      <c r="C71" s="280">
        <v>0.008</v>
      </c>
      <c r="D71" s="57"/>
    </row>
    <row r="72" spans="2:4" ht="24.75" customHeight="1" thickBot="1">
      <c r="B72" s="18"/>
      <c r="C72" s="18"/>
      <c r="D72" s="41"/>
    </row>
    <row r="73" spans="1:4" ht="25.5" customHeight="1" thickBot="1">
      <c r="A73" s="531" t="s">
        <v>111</v>
      </c>
      <c r="B73" s="426" t="s">
        <v>0</v>
      </c>
      <c r="C73" s="426" t="s">
        <v>22</v>
      </c>
      <c r="D73" s="426" t="s">
        <v>59</v>
      </c>
    </row>
    <row r="74" spans="1:4" ht="25.5">
      <c r="A74" s="62" t="s">
        <v>657</v>
      </c>
      <c r="B74" s="459" t="s">
        <v>24</v>
      </c>
      <c r="C74" s="466">
        <v>0.04</v>
      </c>
      <c r="D74" s="460" t="s">
        <v>112</v>
      </c>
    </row>
    <row r="75" spans="1:4" ht="25.5">
      <c r="A75" s="54" t="s">
        <v>44</v>
      </c>
      <c r="B75" s="40" t="s">
        <v>270</v>
      </c>
      <c r="C75" s="292">
        <v>2.4</v>
      </c>
      <c r="D75" s="55" t="s">
        <v>107</v>
      </c>
    </row>
    <row r="76" spans="1:4" ht="19.5" customHeight="1">
      <c r="A76" s="54" t="s">
        <v>271</v>
      </c>
      <c r="B76" s="40" t="s">
        <v>270</v>
      </c>
      <c r="C76" s="285">
        <v>11</v>
      </c>
      <c r="D76" s="55"/>
    </row>
    <row r="77" spans="1:4" ht="19.5" customHeight="1">
      <c r="A77" s="54" t="s">
        <v>363</v>
      </c>
      <c r="B77" s="40" t="s">
        <v>87</v>
      </c>
      <c r="C77" s="293">
        <v>4</v>
      </c>
      <c r="D77" s="55" t="s">
        <v>113</v>
      </c>
    </row>
    <row r="78" spans="1:4" ht="19.5" customHeight="1">
      <c r="A78" s="54" t="s">
        <v>750</v>
      </c>
      <c r="B78" s="40" t="s">
        <v>627</v>
      </c>
      <c r="C78" s="293">
        <v>100</v>
      </c>
      <c r="D78" s="55" t="s">
        <v>628</v>
      </c>
    </row>
    <row r="79" spans="1:4" ht="19.5" customHeight="1">
      <c r="A79" s="54" t="s">
        <v>269</v>
      </c>
      <c r="B79" s="40" t="s">
        <v>79</v>
      </c>
      <c r="C79" s="285">
        <v>500</v>
      </c>
      <c r="D79" s="55" t="s">
        <v>436</v>
      </c>
    </row>
    <row r="80" spans="1:4" ht="41.25" customHeight="1">
      <c r="A80" s="674" t="s">
        <v>715</v>
      </c>
      <c r="B80" s="191" t="s">
        <v>240</v>
      </c>
      <c r="C80" s="285">
        <v>0</v>
      </c>
      <c r="D80" s="55" t="s">
        <v>716</v>
      </c>
    </row>
    <row r="81" spans="1:4" ht="24.75" customHeight="1">
      <c r="A81" s="54" t="s">
        <v>442</v>
      </c>
      <c r="B81" s="40"/>
      <c r="C81" s="285">
        <v>0</v>
      </c>
      <c r="D81" s="55" t="s">
        <v>446</v>
      </c>
    </row>
    <row r="82" spans="1:4" ht="28.5" customHeight="1">
      <c r="A82" s="54" t="s">
        <v>443</v>
      </c>
      <c r="B82" s="40"/>
      <c r="C82" s="285">
        <v>0</v>
      </c>
      <c r="D82" s="55" t="s">
        <v>446</v>
      </c>
    </row>
    <row r="83" spans="1:4" ht="27.75" customHeight="1">
      <c r="A83" s="54" t="s">
        <v>444</v>
      </c>
      <c r="B83" s="40"/>
      <c r="C83" s="285">
        <v>0</v>
      </c>
      <c r="D83" s="55" t="s">
        <v>446</v>
      </c>
    </row>
    <row r="84" spans="1:4" ht="28.5" customHeight="1">
      <c r="A84" s="54" t="s">
        <v>445</v>
      </c>
      <c r="B84" s="40"/>
      <c r="C84" s="285">
        <v>0</v>
      </c>
      <c r="D84" s="55" t="s">
        <v>446</v>
      </c>
    </row>
    <row r="85" spans="1:4" ht="40.5" customHeight="1">
      <c r="A85" s="463" t="s">
        <v>262</v>
      </c>
      <c r="B85" s="464"/>
      <c r="C85" s="465">
        <v>15</v>
      </c>
      <c r="D85" s="57" t="s">
        <v>267</v>
      </c>
    </row>
    <row r="86" spans="1:4" ht="24.75" customHeight="1">
      <c r="A86" s="41"/>
      <c r="B86" s="42"/>
      <c r="C86" s="194"/>
      <c r="D86" s="41"/>
    </row>
    <row r="87" spans="1:4" ht="28.5" customHeight="1" thickBot="1">
      <c r="A87" s="107" t="s">
        <v>246</v>
      </c>
      <c r="B87" s="20"/>
      <c r="C87" s="20"/>
      <c r="D87" s="22"/>
    </row>
    <row r="88" spans="1:4" ht="24.75" customHeight="1" thickBot="1">
      <c r="A88" s="426" t="s">
        <v>239</v>
      </c>
      <c r="B88" s="530" t="s">
        <v>0</v>
      </c>
      <c r="C88" s="426" t="s">
        <v>22</v>
      </c>
      <c r="D88" s="426" t="s">
        <v>59</v>
      </c>
    </row>
    <row r="89" spans="1:4" ht="18" customHeight="1">
      <c r="A89" s="58" t="s">
        <v>243</v>
      </c>
      <c r="B89" s="190" t="s">
        <v>25</v>
      </c>
      <c r="C89" s="294">
        <v>15</v>
      </c>
      <c r="D89" s="53" t="s">
        <v>287</v>
      </c>
    </row>
    <row r="90" spans="1:4" ht="27.75" customHeight="1">
      <c r="A90" s="54" t="s">
        <v>288</v>
      </c>
      <c r="B90" s="191" t="s">
        <v>24</v>
      </c>
      <c r="C90" s="295">
        <v>2</v>
      </c>
      <c r="D90" s="55" t="s">
        <v>268</v>
      </c>
    </row>
    <row r="91" spans="1:4" ht="18" customHeight="1">
      <c r="A91" s="54" t="s">
        <v>45</v>
      </c>
      <c r="B91" s="191" t="s">
        <v>272</v>
      </c>
      <c r="C91" s="296">
        <v>0</v>
      </c>
      <c r="D91" s="55" t="s">
        <v>242</v>
      </c>
    </row>
    <row r="92" spans="1:4" ht="18" customHeight="1">
      <c r="A92" s="85" t="s">
        <v>236</v>
      </c>
      <c r="B92" s="192" t="s">
        <v>24</v>
      </c>
      <c r="C92" s="297">
        <v>1</v>
      </c>
      <c r="D92" s="86"/>
    </row>
    <row r="93" spans="1:4" ht="18" customHeight="1">
      <c r="A93" s="54" t="s">
        <v>238</v>
      </c>
      <c r="B93" s="191" t="s">
        <v>24</v>
      </c>
      <c r="C93" s="297">
        <v>1</v>
      </c>
      <c r="D93" s="55"/>
    </row>
    <row r="94" spans="1:4" ht="21" customHeight="1">
      <c r="A94" s="462" t="s">
        <v>314</v>
      </c>
      <c r="B94" s="192" t="s">
        <v>87</v>
      </c>
      <c r="C94" s="298">
        <v>5</v>
      </c>
      <c r="D94" s="86"/>
    </row>
    <row r="95" spans="1:4" ht="27" customHeight="1">
      <c r="A95" s="462" t="s">
        <v>315</v>
      </c>
      <c r="B95" s="192" t="s">
        <v>87</v>
      </c>
      <c r="C95" s="298">
        <v>5</v>
      </c>
      <c r="D95" s="86"/>
    </row>
    <row r="96" spans="1:4" ht="18" customHeight="1">
      <c r="A96" s="558" t="s">
        <v>326</v>
      </c>
      <c r="B96" s="559" t="s">
        <v>240</v>
      </c>
      <c r="C96" s="560">
        <v>0</v>
      </c>
      <c r="D96" s="561" t="s">
        <v>241</v>
      </c>
    </row>
    <row r="97" spans="1:4" ht="18" customHeight="1">
      <c r="A97" s="54" t="s">
        <v>301</v>
      </c>
      <c r="B97" s="191" t="s">
        <v>240</v>
      </c>
      <c r="C97" s="285">
        <v>0</v>
      </c>
      <c r="D97" s="206" t="s">
        <v>305</v>
      </c>
    </row>
    <row r="98" spans="1:4" ht="18" customHeight="1">
      <c r="A98" s="54" t="s">
        <v>302</v>
      </c>
      <c r="B98" s="191" t="s">
        <v>240</v>
      </c>
      <c r="C98" s="285">
        <v>0</v>
      </c>
      <c r="D98" s="206" t="s">
        <v>305</v>
      </c>
    </row>
    <row r="99" spans="1:4" ht="18" customHeight="1">
      <c r="A99" s="85" t="s">
        <v>303</v>
      </c>
      <c r="B99" s="191" t="s">
        <v>240</v>
      </c>
      <c r="C99" s="285">
        <v>0</v>
      </c>
      <c r="D99" s="206" t="s">
        <v>305</v>
      </c>
    </row>
    <row r="100" spans="1:4" ht="18" customHeight="1">
      <c r="A100" s="54" t="s">
        <v>304</v>
      </c>
      <c r="B100" s="191" t="s">
        <v>240</v>
      </c>
      <c r="C100" s="285">
        <v>0</v>
      </c>
      <c r="D100" s="206" t="s">
        <v>305</v>
      </c>
    </row>
    <row r="101" spans="1:4" ht="18" customHeight="1">
      <c r="A101" s="558" t="s">
        <v>325</v>
      </c>
      <c r="B101" s="559" t="s">
        <v>240</v>
      </c>
      <c r="C101" s="560">
        <v>0</v>
      </c>
      <c r="D101" s="561" t="s">
        <v>241</v>
      </c>
    </row>
    <row r="102" spans="1:4" ht="18" customHeight="1">
      <c r="A102" s="54" t="s">
        <v>301</v>
      </c>
      <c r="B102" s="191" t="s">
        <v>240</v>
      </c>
      <c r="C102" s="285">
        <v>0</v>
      </c>
      <c r="D102" s="206" t="s">
        <v>305</v>
      </c>
    </row>
    <row r="103" spans="1:4" ht="18" customHeight="1">
      <c r="A103" s="54" t="s">
        <v>302</v>
      </c>
      <c r="B103" s="191" t="s">
        <v>240</v>
      </c>
      <c r="C103" s="285">
        <v>0</v>
      </c>
      <c r="D103" s="206" t="s">
        <v>305</v>
      </c>
    </row>
    <row r="104" spans="1:4" ht="18" customHeight="1">
      <c r="A104" s="85" t="s">
        <v>303</v>
      </c>
      <c r="B104" s="191" t="s">
        <v>240</v>
      </c>
      <c r="C104" s="285">
        <v>0</v>
      </c>
      <c r="D104" s="206" t="s">
        <v>305</v>
      </c>
    </row>
    <row r="105" spans="1:4" ht="18" customHeight="1">
      <c r="A105" s="54" t="s">
        <v>304</v>
      </c>
      <c r="B105" s="191" t="s">
        <v>240</v>
      </c>
      <c r="C105" s="285">
        <v>0</v>
      </c>
      <c r="D105" s="206" t="s">
        <v>305</v>
      </c>
    </row>
    <row r="106" spans="1:4" ht="18" customHeight="1">
      <c r="A106" s="558" t="s">
        <v>324</v>
      </c>
      <c r="B106" s="559" t="s">
        <v>240</v>
      </c>
      <c r="C106" s="560">
        <v>0</v>
      </c>
      <c r="D106" s="561" t="s">
        <v>241</v>
      </c>
    </row>
    <row r="107" spans="1:4" ht="18" customHeight="1">
      <c r="A107" s="54" t="s">
        <v>301</v>
      </c>
      <c r="B107" s="191" t="s">
        <v>240</v>
      </c>
      <c r="C107" s="285">
        <v>0</v>
      </c>
      <c r="D107" s="206" t="s">
        <v>305</v>
      </c>
    </row>
    <row r="108" spans="1:4" ht="18" customHeight="1">
      <c r="A108" s="54" t="s">
        <v>302</v>
      </c>
      <c r="B108" s="191" t="s">
        <v>240</v>
      </c>
      <c r="C108" s="285">
        <v>0</v>
      </c>
      <c r="D108" s="206" t="s">
        <v>305</v>
      </c>
    </row>
    <row r="109" spans="1:4" ht="18" customHeight="1">
      <c r="A109" s="85" t="s">
        <v>303</v>
      </c>
      <c r="B109" s="191" t="s">
        <v>240</v>
      </c>
      <c r="C109" s="285">
        <v>0</v>
      </c>
      <c r="D109" s="206" t="s">
        <v>305</v>
      </c>
    </row>
    <row r="110" spans="1:4" ht="18" customHeight="1">
      <c r="A110" s="54" t="s">
        <v>304</v>
      </c>
      <c r="B110" s="191" t="s">
        <v>240</v>
      </c>
      <c r="C110" s="285">
        <v>0</v>
      </c>
      <c r="D110" s="206" t="s">
        <v>305</v>
      </c>
    </row>
    <row r="111" spans="1:4" ht="18" customHeight="1">
      <c r="A111" s="558" t="s">
        <v>323</v>
      </c>
      <c r="B111" s="559" t="s">
        <v>240</v>
      </c>
      <c r="C111" s="560">
        <v>0</v>
      </c>
      <c r="D111" s="561" t="s">
        <v>241</v>
      </c>
    </row>
    <row r="112" spans="1:4" ht="18" customHeight="1">
      <c r="A112" s="54" t="s">
        <v>301</v>
      </c>
      <c r="B112" s="191" t="s">
        <v>240</v>
      </c>
      <c r="C112" s="285">
        <v>0</v>
      </c>
      <c r="D112" s="206" t="s">
        <v>305</v>
      </c>
    </row>
    <row r="113" spans="1:4" ht="18" customHeight="1">
      <c r="A113" s="54" t="s">
        <v>302</v>
      </c>
      <c r="B113" s="191" t="s">
        <v>240</v>
      </c>
      <c r="C113" s="285">
        <v>0</v>
      </c>
      <c r="D113" s="206" t="s">
        <v>305</v>
      </c>
    </row>
    <row r="114" spans="1:4" ht="18" customHeight="1">
      <c r="A114" s="85" t="s">
        <v>303</v>
      </c>
      <c r="B114" s="191" t="s">
        <v>240</v>
      </c>
      <c r="C114" s="285">
        <v>0</v>
      </c>
      <c r="D114" s="206" t="s">
        <v>305</v>
      </c>
    </row>
    <row r="115" spans="1:4" ht="18" customHeight="1">
      <c r="A115" s="54" t="s">
        <v>304</v>
      </c>
      <c r="B115" s="191" t="s">
        <v>240</v>
      </c>
      <c r="C115" s="285">
        <v>0</v>
      </c>
      <c r="D115" s="206" t="s">
        <v>305</v>
      </c>
    </row>
    <row r="116" spans="1:4" ht="33.75" customHeight="1">
      <c r="A116" s="562" t="s">
        <v>322</v>
      </c>
      <c r="B116" s="559" t="s">
        <v>240</v>
      </c>
      <c r="C116" s="560">
        <v>0</v>
      </c>
      <c r="D116" s="561" t="s">
        <v>241</v>
      </c>
    </row>
    <row r="117" spans="1:4" ht="18" customHeight="1">
      <c r="A117" s="54" t="s">
        <v>301</v>
      </c>
      <c r="B117" s="191" t="s">
        <v>240</v>
      </c>
      <c r="C117" s="285">
        <v>0</v>
      </c>
      <c r="D117" s="206" t="s">
        <v>305</v>
      </c>
    </row>
    <row r="118" spans="1:4" ht="18" customHeight="1">
      <c r="A118" s="54" t="s">
        <v>302</v>
      </c>
      <c r="B118" s="191" t="s">
        <v>240</v>
      </c>
      <c r="C118" s="285">
        <v>0</v>
      </c>
      <c r="D118" s="206" t="s">
        <v>305</v>
      </c>
    </row>
    <row r="119" spans="1:4" ht="18" customHeight="1">
      <c r="A119" s="85" t="s">
        <v>303</v>
      </c>
      <c r="B119" s="191" t="s">
        <v>240</v>
      </c>
      <c r="C119" s="285">
        <v>0</v>
      </c>
      <c r="D119" s="206" t="s">
        <v>305</v>
      </c>
    </row>
    <row r="120" spans="1:4" ht="18" customHeight="1">
      <c r="A120" s="54" t="s">
        <v>304</v>
      </c>
      <c r="B120" s="191" t="s">
        <v>240</v>
      </c>
      <c r="C120" s="285">
        <v>0</v>
      </c>
      <c r="D120" s="206" t="s">
        <v>305</v>
      </c>
    </row>
    <row r="121" spans="1:4" ht="36" customHeight="1">
      <c r="A121" s="562" t="s">
        <v>321</v>
      </c>
      <c r="B121" s="559" t="s">
        <v>240</v>
      </c>
      <c r="C121" s="560">
        <v>0</v>
      </c>
      <c r="D121" s="561" t="s">
        <v>241</v>
      </c>
    </row>
    <row r="122" spans="1:4" ht="18" customHeight="1">
      <c r="A122" s="62" t="s">
        <v>301</v>
      </c>
      <c r="B122" s="208" t="s">
        <v>240</v>
      </c>
      <c r="C122" s="299">
        <v>0</v>
      </c>
      <c r="D122" s="206" t="s">
        <v>305</v>
      </c>
    </row>
    <row r="123" spans="1:4" ht="18" customHeight="1">
      <c r="A123" s="54" t="s">
        <v>302</v>
      </c>
      <c r="B123" s="191" t="s">
        <v>240</v>
      </c>
      <c r="C123" s="285">
        <v>0</v>
      </c>
      <c r="D123" s="206" t="s">
        <v>305</v>
      </c>
    </row>
    <row r="124" spans="1:4" ht="18" customHeight="1">
      <c r="A124" s="85" t="s">
        <v>303</v>
      </c>
      <c r="B124" s="191" t="s">
        <v>240</v>
      </c>
      <c r="C124" s="285">
        <v>0</v>
      </c>
      <c r="D124" s="206" t="s">
        <v>305</v>
      </c>
    </row>
    <row r="125" spans="1:4" ht="18" customHeight="1">
      <c r="A125" s="54" t="s">
        <v>304</v>
      </c>
      <c r="B125" s="191" t="s">
        <v>240</v>
      </c>
      <c r="C125" s="285">
        <v>0</v>
      </c>
      <c r="D125" s="206" t="s">
        <v>305</v>
      </c>
    </row>
    <row r="126" spans="1:4" ht="22.5" customHeight="1">
      <c r="A126" s="558" t="s">
        <v>320</v>
      </c>
      <c r="B126" s="559" t="s">
        <v>240</v>
      </c>
      <c r="C126" s="560">
        <v>0</v>
      </c>
      <c r="D126" s="561" t="s">
        <v>241</v>
      </c>
    </row>
    <row r="127" spans="1:4" ht="18" customHeight="1">
      <c r="A127" s="54" t="s">
        <v>301</v>
      </c>
      <c r="B127" s="191" t="s">
        <v>240</v>
      </c>
      <c r="C127" s="285">
        <v>0</v>
      </c>
      <c r="D127" s="206" t="s">
        <v>305</v>
      </c>
    </row>
    <row r="128" spans="1:4" ht="18" customHeight="1">
      <c r="A128" s="54" t="s">
        <v>302</v>
      </c>
      <c r="B128" s="191" t="s">
        <v>240</v>
      </c>
      <c r="C128" s="285">
        <v>0</v>
      </c>
      <c r="D128" s="206" t="s">
        <v>305</v>
      </c>
    </row>
    <row r="129" spans="1:4" ht="18" customHeight="1">
      <c r="A129" s="85" t="s">
        <v>303</v>
      </c>
      <c r="B129" s="191" t="s">
        <v>240</v>
      </c>
      <c r="C129" s="285">
        <v>0</v>
      </c>
      <c r="D129" s="206" t="s">
        <v>305</v>
      </c>
    </row>
    <row r="130" spans="1:4" ht="18" customHeight="1">
      <c r="A130" s="54" t="s">
        <v>304</v>
      </c>
      <c r="B130" s="191" t="s">
        <v>240</v>
      </c>
      <c r="C130" s="285">
        <v>0</v>
      </c>
      <c r="D130" s="206" t="s">
        <v>305</v>
      </c>
    </row>
  </sheetData>
  <printOptions/>
  <pageMargins left="0.44" right="0.5" top="0.75" bottom="0.72" header="0.5" footer="0.45"/>
  <pageSetup fitToHeight="0" fitToWidth="1" horizontalDpi="300" verticalDpi="300" orientation="portrait" scale="75" r:id="rId4"/>
  <headerFooter alignWithMargins="0">
    <oddHeader>&amp;LFile Name: &amp;F, Sheet Name: &amp;A&amp;R&amp;D, &amp;T</oddHeader>
    <oddFooter>&amp;LPrepared by:
Resource Consulting&amp;RNumbers in blue can be modified by the user</oddFooter>
  </headerFooter>
  <rowBreaks count="2" manualBreakCount="2">
    <brk id="49" max="3" man="1"/>
    <brk id="85" max="3" man="1"/>
  </rowBreaks>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M119"/>
  <sheetViews>
    <sheetView showGridLines="0" workbookViewId="0" topLeftCell="A1">
      <selection activeCell="A1" sqref="A1"/>
    </sheetView>
  </sheetViews>
  <sheetFormatPr defaultColWidth="9.140625" defaultRowHeight="12.75"/>
  <cols>
    <col min="1" max="1" width="30.8515625" style="0" customWidth="1"/>
    <col min="3" max="3" width="12.421875" style="0" customWidth="1"/>
    <col min="4" max="4" width="33.00390625" style="1" customWidth="1"/>
    <col min="5" max="5" width="34.57421875" style="0" customWidth="1"/>
    <col min="6" max="6" width="10.8515625" style="0" customWidth="1"/>
    <col min="8" max="8" width="11.57421875" style="0" customWidth="1"/>
  </cols>
  <sheetData>
    <row r="1" ht="23.25">
      <c r="A1" s="207" t="s">
        <v>109</v>
      </c>
    </row>
    <row r="2" ht="18">
      <c r="A2" s="107"/>
    </row>
    <row r="3" ht="15.75" customHeight="1" thickBot="1">
      <c r="A3" s="107" t="s">
        <v>394</v>
      </c>
    </row>
    <row r="4" spans="1:5" s="131" customFormat="1" ht="27" customHeight="1" thickBot="1">
      <c r="A4" s="373" t="s">
        <v>17</v>
      </c>
      <c r="B4" s="373" t="s">
        <v>0</v>
      </c>
      <c r="C4" s="373" t="s">
        <v>11</v>
      </c>
      <c r="D4" s="373" t="s">
        <v>46</v>
      </c>
      <c r="E4" s="373" t="s">
        <v>47</v>
      </c>
    </row>
    <row r="5" spans="1:5" s="131" customFormat="1" ht="20.25" customHeight="1">
      <c r="A5" s="371" t="s">
        <v>1</v>
      </c>
      <c r="B5" s="372"/>
      <c r="C5" s="372"/>
      <c r="D5" s="372"/>
      <c r="E5" s="372"/>
    </row>
    <row r="6" spans="1:5" ht="18" customHeight="1">
      <c r="A6" s="27" t="s">
        <v>514</v>
      </c>
      <c r="B6" s="44" t="s">
        <v>48</v>
      </c>
      <c r="C6" s="364">
        <v>5</v>
      </c>
      <c r="D6" s="49"/>
      <c r="E6" s="195"/>
    </row>
    <row r="7" spans="1:5" ht="18.75" customHeight="1">
      <c r="A7" s="27" t="s">
        <v>724</v>
      </c>
      <c r="B7" s="25" t="s">
        <v>12</v>
      </c>
      <c r="C7" s="300">
        <v>135</v>
      </c>
      <c r="D7" s="27"/>
      <c r="E7" s="128"/>
    </row>
    <row r="8" spans="1:5" ht="20.25" customHeight="1">
      <c r="A8" s="27" t="s">
        <v>515</v>
      </c>
      <c r="B8" s="25" t="s">
        <v>518</v>
      </c>
      <c r="C8" s="300">
        <v>12</v>
      </c>
      <c r="D8" s="27"/>
      <c r="E8" s="47"/>
    </row>
    <row r="9" spans="1:5" ht="20.25" customHeight="1">
      <c r="A9" s="27" t="s">
        <v>516</v>
      </c>
      <c r="B9" s="25" t="s">
        <v>518</v>
      </c>
      <c r="C9" s="300">
        <v>13</v>
      </c>
      <c r="D9" s="27"/>
      <c r="E9" s="128"/>
    </row>
    <row r="10" spans="1:5" ht="18" customHeight="1">
      <c r="A10" s="27" t="s">
        <v>517</v>
      </c>
      <c r="B10" s="25" t="s">
        <v>50</v>
      </c>
      <c r="C10" s="300">
        <v>0.06</v>
      </c>
      <c r="D10" s="27"/>
      <c r="E10" s="128"/>
    </row>
    <row r="11" spans="1:5" ht="18" customHeight="1">
      <c r="A11" s="27" t="s">
        <v>659</v>
      </c>
      <c r="B11" s="359" t="s">
        <v>12</v>
      </c>
      <c r="C11" s="300">
        <v>7</v>
      </c>
      <c r="D11" s="27"/>
      <c r="E11" s="128"/>
    </row>
    <row r="12" spans="1:5" ht="18" customHeight="1">
      <c r="A12" s="482" t="s">
        <v>629</v>
      </c>
      <c r="B12" s="25" t="s">
        <v>48</v>
      </c>
      <c r="C12" s="300">
        <v>28.5</v>
      </c>
      <c r="D12" s="27" t="s">
        <v>630</v>
      </c>
      <c r="E12" s="483"/>
    </row>
    <row r="13" spans="1:5" ht="18" customHeight="1">
      <c r="A13" s="374" t="s">
        <v>586</v>
      </c>
      <c r="B13" s="375"/>
      <c r="C13" s="376"/>
      <c r="D13" s="377"/>
      <c r="E13" s="378"/>
    </row>
    <row r="14" spans="1:5" ht="18" customHeight="1">
      <c r="A14" s="46" t="s">
        <v>587</v>
      </c>
      <c r="B14" s="25" t="s">
        <v>12</v>
      </c>
      <c r="C14" s="300">
        <v>90</v>
      </c>
      <c r="D14" s="27"/>
      <c r="E14" s="128" t="s">
        <v>458</v>
      </c>
    </row>
    <row r="15" spans="1:5" ht="18" customHeight="1">
      <c r="A15" s="46" t="s">
        <v>588</v>
      </c>
      <c r="B15" s="25" t="s">
        <v>12</v>
      </c>
      <c r="C15" s="300">
        <v>82</v>
      </c>
      <c r="D15" s="27"/>
      <c r="E15" s="128" t="s">
        <v>458</v>
      </c>
    </row>
    <row r="16" spans="1:5" ht="18" customHeight="1">
      <c r="A16" s="129" t="s">
        <v>589</v>
      </c>
      <c r="B16" s="25" t="s">
        <v>12</v>
      </c>
      <c r="C16" s="300">
        <v>48</v>
      </c>
      <c r="D16" s="9"/>
      <c r="E16" s="128" t="s">
        <v>458</v>
      </c>
    </row>
    <row r="17" spans="1:5" ht="18" customHeight="1">
      <c r="A17" s="46" t="s">
        <v>590</v>
      </c>
      <c r="B17" s="25" t="s">
        <v>12</v>
      </c>
      <c r="C17" s="300">
        <v>43</v>
      </c>
      <c r="D17" s="27"/>
      <c r="E17" s="128" t="s">
        <v>458</v>
      </c>
    </row>
    <row r="18" spans="1:5" ht="18" customHeight="1">
      <c r="A18" s="46" t="s">
        <v>591</v>
      </c>
      <c r="B18" s="25" t="s">
        <v>12</v>
      </c>
      <c r="C18" s="300">
        <v>62</v>
      </c>
      <c r="D18" s="27"/>
      <c r="E18" s="128" t="s">
        <v>458</v>
      </c>
    </row>
    <row r="19" spans="1:5" ht="18" customHeight="1">
      <c r="A19" s="46" t="s">
        <v>474</v>
      </c>
      <c r="B19" s="25" t="s">
        <v>13</v>
      </c>
      <c r="C19" s="300">
        <v>2100</v>
      </c>
      <c r="D19" s="27"/>
      <c r="E19" s="128"/>
    </row>
    <row r="20" spans="1:5" ht="18" customHeight="1">
      <c r="A20" s="46" t="s">
        <v>592</v>
      </c>
      <c r="B20" s="25" t="s">
        <v>13</v>
      </c>
      <c r="C20" s="300">
        <v>2250</v>
      </c>
      <c r="D20" s="27"/>
      <c r="E20" s="128"/>
    </row>
    <row r="21" spans="1:5" ht="18" customHeight="1">
      <c r="A21" s="379" t="s">
        <v>150</v>
      </c>
      <c r="B21" s="380"/>
      <c r="C21" s="381"/>
      <c r="D21" s="377"/>
      <c r="E21" s="378"/>
    </row>
    <row r="22" spans="1:5" ht="18" customHeight="1">
      <c r="A22" s="54" t="s">
        <v>521</v>
      </c>
      <c r="B22" s="40" t="s">
        <v>13</v>
      </c>
      <c r="C22" s="303">
        <v>2</v>
      </c>
      <c r="D22" s="27"/>
      <c r="E22" s="128"/>
    </row>
    <row r="23" spans="1:5" ht="18" customHeight="1">
      <c r="A23" s="54" t="s">
        <v>599</v>
      </c>
      <c r="B23" s="40" t="s">
        <v>13</v>
      </c>
      <c r="C23" s="295">
        <f>0.0294</f>
        <v>0.0294</v>
      </c>
      <c r="D23" s="27" t="s">
        <v>600</v>
      </c>
      <c r="E23" s="128"/>
    </row>
    <row r="24" spans="1:5" ht="18" customHeight="1">
      <c r="A24" s="54" t="s">
        <v>593</v>
      </c>
      <c r="B24" s="40" t="s">
        <v>13</v>
      </c>
      <c r="C24" s="303">
        <v>7</v>
      </c>
      <c r="D24" s="27"/>
      <c r="E24" s="128"/>
    </row>
    <row r="25" spans="1:5" ht="18" customHeight="1">
      <c r="A25" s="54" t="s">
        <v>524</v>
      </c>
      <c r="B25" s="40" t="s">
        <v>13</v>
      </c>
      <c r="C25" s="303">
        <v>15</v>
      </c>
      <c r="D25" s="27"/>
      <c r="E25" s="128"/>
    </row>
    <row r="26" spans="1:5" ht="18" customHeight="1">
      <c r="A26" s="46" t="s">
        <v>3</v>
      </c>
      <c r="B26" s="25" t="s">
        <v>49</v>
      </c>
      <c r="C26" s="300">
        <v>8.5</v>
      </c>
      <c r="D26" s="27"/>
      <c r="E26" s="128"/>
    </row>
    <row r="27" spans="1:5" ht="25.5">
      <c r="A27" s="46" t="s">
        <v>115</v>
      </c>
      <c r="B27" s="25" t="s">
        <v>64</v>
      </c>
      <c r="C27" s="300">
        <v>2500</v>
      </c>
      <c r="D27" s="27" t="s">
        <v>594</v>
      </c>
      <c r="E27" s="128"/>
    </row>
    <row r="28" spans="1:5" ht="51">
      <c r="A28" s="46" t="s">
        <v>149</v>
      </c>
      <c r="B28" s="25" t="s">
        <v>64</v>
      </c>
      <c r="C28" s="300">
        <v>500</v>
      </c>
      <c r="D28" s="27" t="s">
        <v>254</v>
      </c>
      <c r="E28" s="128"/>
    </row>
    <row r="29" spans="1:5" ht="18" customHeight="1">
      <c r="A29" s="388" t="s">
        <v>585</v>
      </c>
      <c r="B29" s="322" t="s">
        <v>64</v>
      </c>
      <c r="C29" s="389">
        <v>80</v>
      </c>
      <c r="D29" s="30"/>
      <c r="E29" s="390"/>
    </row>
    <row r="30" spans="1:5" ht="18" customHeight="1">
      <c r="A30" s="50" t="s">
        <v>605</v>
      </c>
      <c r="B30" s="391" t="s">
        <v>607</v>
      </c>
      <c r="C30" s="300">
        <v>1.45</v>
      </c>
      <c r="D30" s="27"/>
      <c r="E30" s="392"/>
    </row>
    <row r="31" spans="1:5" ht="18" customHeight="1">
      <c r="A31" s="51" t="s">
        <v>606</v>
      </c>
      <c r="B31" s="393" t="s">
        <v>607</v>
      </c>
      <c r="C31" s="302">
        <v>1.5</v>
      </c>
      <c r="D31" s="394"/>
      <c r="E31" s="395"/>
    </row>
    <row r="32" spans="1:5" ht="26.25" customHeight="1">
      <c r="A32" s="519" t="s">
        <v>395</v>
      </c>
      <c r="B32" s="520"/>
      <c r="C32" s="520"/>
      <c r="D32" s="520"/>
      <c r="E32" s="520"/>
    </row>
    <row r="33" spans="1:5" ht="18" customHeight="1">
      <c r="A33" s="43" t="s">
        <v>32</v>
      </c>
      <c r="B33" s="44" t="s">
        <v>64</v>
      </c>
      <c r="C33" s="513">
        <v>50</v>
      </c>
      <c r="D33" s="49"/>
      <c r="E33" s="195"/>
    </row>
    <row r="34" spans="1:5" ht="18" customHeight="1">
      <c r="A34" s="46" t="s">
        <v>75</v>
      </c>
      <c r="B34" s="25" t="s">
        <v>64</v>
      </c>
      <c r="C34" s="303">
        <v>39</v>
      </c>
      <c r="D34" s="27" t="s">
        <v>76</v>
      </c>
      <c r="E34" s="128" t="s">
        <v>77</v>
      </c>
    </row>
    <row r="35" spans="1:5" ht="18" customHeight="1">
      <c r="A35" s="46" t="s">
        <v>626</v>
      </c>
      <c r="B35" s="518" t="s">
        <v>50</v>
      </c>
      <c r="C35" s="303">
        <v>0.16</v>
      </c>
      <c r="D35" s="27"/>
      <c r="E35" s="128"/>
    </row>
    <row r="36" spans="1:5" ht="18" customHeight="1">
      <c r="A36" s="129" t="s">
        <v>213</v>
      </c>
      <c r="B36" s="518" t="s">
        <v>64</v>
      </c>
      <c r="C36" s="303">
        <v>30</v>
      </c>
      <c r="D36" s="27"/>
      <c r="E36" s="128"/>
    </row>
    <row r="37" spans="1:5" ht="25.5">
      <c r="A37" s="46" t="s">
        <v>439</v>
      </c>
      <c r="B37" s="518" t="s">
        <v>64</v>
      </c>
      <c r="C37" s="300">
        <f>1.9*500</f>
        <v>950</v>
      </c>
      <c r="D37" s="27" t="s">
        <v>330</v>
      </c>
      <c r="E37" s="47" t="s">
        <v>331</v>
      </c>
    </row>
    <row r="38" spans="1:5" ht="63.75">
      <c r="A38" s="46" t="s">
        <v>447</v>
      </c>
      <c r="B38" s="25" t="s">
        <v>64</v>
      </c>
      <c r="C38" s="300">
        <v>568</v>
      </c>
      <c r="D38" s="27"/>
      <c r="E38" s="517" t="s">
        <v>332</v>
      </c>
    </row>
    <row r="39" spans="1:5" ht="18.75" customHeight="1">
      <c r="A39" s="46" t="s">
        <v>165</v>
      </c>
      <c r="B39" s="25" t="s">
        <v>166</v>
      </c>
      <c r="C39" s="300">
        <v>2</v>
      </c>
      <c r="D39" s="27"/>
      <c r="E39" s="128" t="s">
        <v>80</v>
      </c>
    </row>
    <row r="40" spans="1:5" ht="25.5">
      <c r="A40" s="46" t="s">
        <v>114</v>
      </c>
      <c r="B40" s="25" t="s">
        <v>64</v>
      </c>
      <c r="C40" s="303">
        <v>850</v>
      </c>
      <c r="D40" s="27" t="s">
        <v>273</v>
      </c>
      <c r="E40" s="47" t="s">
        <v>274</v>
      </c>
    </row>
    <row r="41" spans="1:5" ht="18" customHeight="1">
      <c r="A41" s="46" t="s">
        <v>244</v>
      </c>
      <c r="B41" s="25" t="s">
        <v>64</v>
      </c>
      <c r="C41" s="303">
        <v>40</v>
      </c>
      <c r="D41" s="27" t="s">
        <v>88</v>
      </c>
      <c r="E41" s="128" t="s">
        <v>633</v>
      </c>
    </row>
    <row r="42" spans="1:5" ht="25.5" customHeight="1">
      <c r="A42" s="46" t="s">
        <v>164</v>
      </c>
      <c r="B42" s="25" t="s">
        <v>64</v>
      </c>
      <c r="C42" s="303">
        <v>350</v>
      </c>
      <c r="D42" s="27" t="s">
        <v>82</v>
      </c>
      <c r="E42" s="47"/>
    </row>
    <row r="43" spans="1:5" ht="18" customHeight="1">
      <c r="A43" s="46" t="s">
        <v>83</v>
      </c>
      <c r="B43" s="25" t="s">
        <v>64</v>
      </c>
      <c r="C43" s="303">
        <v>100</v>
      </c>
      <c r="D43" s="27" t="s">
        <v>81</v>
      </c>
      <c r="E43" s="128" t="s">
        <v>80</v>
      </c>
    </row>
    <row r="44" spans="1:5" ht="18" customHeight="1">
      <c r="A44" s="46" t="s">
        <v>397</v>
      </c>
      <c r="B44" s="25" t="s">
        <v>64</v>
      </c>
      <c r="C44" s="303">
        <v>75</v>
      </c>
      <c r="D44" s="27"/>
      <c r="E44" s="128" t="s">
        <v>400</v>
      </c>
    </row>
    <row r="45" spans="1:5" ht="18" customHeight="1">
      <c r="A45" s="46" t="s">
        <v>398</v>
      </c>
      <c r="B45" s="25" t="s">
        <v>64</v>
      </c>
      <c r="C45" s="303">
        <v>95</v>
      </c>
      <c r="D45" s="27"/>
      <c r="E45" s="128" t="s">
        <v>400</v>
      </c>
    </row>
    <row r="46" spans="1:5" ht="26.25" customHeight="1">
      <c r="A46" s="46" t="s">
        <v>396</v>
      </c>
      <c r="B46" s="25" t="s">
        <v>48</v>
      </c>
      <c r="C46" s="303">
        <v>25</v>
      </c>
      <c r="D46" s="27"/>
      <c r="E46" s="483" t="s">
        <v>714</v>
      </c>
    </row>
    <row r="47" spans="1:5" ht="23.25" customHeight="1">
      <c r="A47" s="46" t="s">
        <v>307</v>
      </c>
      <c r="B47" s="25" t="s">
        <v>275</v>
      </c>
      <c r="C47" s="303">
        <v>170</v>
      </c>
      <c r="D47" s="27" t="s">
        <v>276</v>
      </c>
      <c r="E47" s="128" t="s">
        <v>232</v>
      </c>
    </row>
    <row r="48" spans="1:5" ht="18" customHeight="1" thickBot="1">
      <c r="A48" s="514" t="s">
        <v>399</v>
      </c>
      <c r="B48" s="515" t="s">
        <v>48</v>
      </c>
      <c r="C48" s="516">
        <v>5.74</v>
      </c>
      <c r="D48" s="581" t="s">
        <v>712</v>
      </c>
      <c r="E48" s="673" t="s">
        <v>713</v>
      </c>
    </row>
    <row r="49" spans="1:5" ht="12.75">
      <c r="A49" s="29"/>
      <c r="B49" s="10"/>
      <c r="C49" s="10"/>
      <c r="D49" s="9"/>
      <c r="E49" s="10"/>
    </row>
    <row r="50" spans="1:5" ht="12.75">
      <c r="A50" s="10"/>
      <c r="B50" s="10"/>
      <c r="C50" s="10"/>
      <c r="D50" s="9"/>
      <c r="E50" s="10"/>
    </row>
    <row r="51" spans="1:5" ht="27" customHeight="1">
      <c r="A51" s="519" t="s">
        <v>647</v>
      </c>
      <c r="B51" s="521"/>
      <c r="C51" s="521"/>
      <c r="D51" s="522"/>
      <c r="E51" s="521"/>
    </row>
    <row r="52" spans="1:13" s="20" customFormat="1" ht="18.75" customHeight="1" thickBot="1">
      <c r="A52" s="20" t="s">
        <v>648</v>
      </c>
      <c r="B52" s="496"/>
      <c r="C52" s="496"/>
      <c r="D52" s="496"/>
      <c r="E52" s="497"/>
      <c r="F52" s="497"/>
      <c r="I52" s="496"/>
      <c r="J52" s="496"/>
      <c r="K52" s="496"/>
      <c r="L52" s="497"/>
      <c r="M52" s="497"/>
    </row>
    <row r="53" spans="1:13" s="20" customFormat="1" ht="18.75" customHeight="1">
      <c r="A53" s="498" t="s">
        <v>413</v>
      </c>
      <c r="B53" s="499">
        <f>SUM(C83:C86)/COUNT(C83:C86)</f>
        <v>420.25</v>
      </c>
      <c r="C53" s="496"/>
      <c r="D53" s="496"/>
      <c r="E53" s="497"/>
      <c r="F53" s="497"/>
      <c r="H53" s="18"/>
      <c r="I53" s="500"/>
      <c r="J53" s="500"/>
      <c r="K53" s="500"/>
      <c r="L53" s="500"/>
      <c r="M53" s="500"/>
    </row>
    <row r="54" spans="1:13" s="20" customFormat="1" ht="18.75" customHeight="1">
      <c r="A54" s="501" t="s">
        <v>414</v>
      </c>
      <c r="B54" s="502">
        <f>SUM(C97:C100)/COUNT(C97:C100)</f>
        <v>256</v>
      </c>
      <c r="C54" s="496"/>
      <c r="D54" s="496"/>
      <c r="E54" s="497"/>
      <c r="F54" s="497"/>
      <c r="H54" s="18"/>
      <c r="I54" s="500"/>
      <c r="J54" s="500"/>
      <c r="K54" s="500"/>
      <c r="L54" s="500"/>
      <c r="M54" s="500"/>
    </row>
    <row r="55" spans="1:13" s="20" customFormat="1" ht="18.75" customHeight="1">
      <c r="A55" s="501" t="s">
        <v>412</v>
      </c>
      <c r="B55" s="502">
        <f>(J80+J81+J86+J87)/COUNT(J80,J81,J86,J87)</f>
        <v>449</v>
      </c>
      <c r="C55" s="503"/>
      <c r="D55" s="503"/>
      <c r="E55" s="504"/>
      <c r="F55" s="505"/>
      <c r="H55" s="18"/>
      <c r="I55" s="500"/>
      <c r="J55" s="500"/>
      <c r="K55" s="500"/>
      <c r="L55" s="500"/>
      <c r="M55" s="500"/>
    </row>
    <row r="56" spans="1:13" s="20" customFormat="1" ht="18.75" customHeight="1">
      <c r="A56" s="506" t="s">
        <v>649</v>
      </c>
      <c r="B56" s="502">
        <f>(C88+C102)/COUNT(C88,C102)</f>
        <v>98</v>
      </c>
      <c r="C56" s="496"/>
      <c r="D56" s="496"/>
      <c r="E56" s="497"/>
      <c r="F56" s="497"/>
      <c r="I56" s="496"/>
      <c r="J56" s="496"/>
      <c r="K56" s="496"/>
      <c r="L56" s="497"/>
      <c r="M56" s="497"/>
    </row>
    <row r="57" spans="1:13" s="20" customFormat="1" ht="18.75" customHeight="1">
      <c r="A57" s="506" t="s">
        <v>650</v>
      </c>
      <c r="B57" s="502">
        <f>(C87+C101)/2</f>
        <v>45</v>
      </c>
      <c r="C57" s="496"/>
      <c r="D57" s="496"/>
      <c r="E57" s="497"/>
      <c r="F57" s="497"/>
      <c r="I57" s="496"/>
      <c r="J57" s="496"/>
      <c r="K57" s="496"/>
      <c r="L57" s="497"/>
      <c r="M57" s="497"/>
    </row>
    <row r="58" spans="1:13" s="20" customFormat="1" ht="18.75" customHeight="1" thickBot="1">
      <c r="A58" s="507" t="s">
        <v>651</v>
      </c>
      <c r="B58" s="508">
        <f>(J83+J89+J92)/COUNT(J83,J89,J92)</f>
        <v>20.333333333333332</v>
      </c>
      <c r="C58" s="496"/>
      <c r="D58" s="496"/>
      <c r="E58" s="497"/>
      <c r="F58" s="497"/>
      <c r="I58" s="496"/>
      <c r="J58" s="496"/>
      <c r="K58" s="496"/>
      <c r="L58" s="497"/>
      <c r="M58" s="497"/>
    </row>
    <row r="59" spans="1:5" ht="18.75" customHeight="1">
      <c r="A59" s="10"/>
      <c r="B59" s="10"/>
      <c r="C59" s="10"/>
      <c r="D59" s="9"/>
      <c r="E59" s="10"/>
    </row>
    <row r="62" spans="1:11" ht="15.75">
      <c r="A62" s="256" t="s">
        <v>401</v>
      </c>
      <c r="B62" s="113"/>
      <c r="C62" s="113"/>
      <c r="D62" s="113"/>
      <c r="E62" s="114"/>
      <c r="F62" s="114"/>
      <c r="G62" s="26"/>
      <c r="H62" s="114" t="s">
        <v>402</v>
      </c>
      <c r="I62" s="257" t="s">
        <v>403</v>
      </c>
      <c r="J62" s="26"/>
      <c r="K62" s="113"/>
    </row>
    <row r="63" spans="1:11" ht="12.75">
      <c r="A63" s="26" t="s">
        <v>404</v>
      </c>
      <c r="B63" s="113"/>
      <c r="C63" s="113"/>
      <c r="D63" s="113"/>
      <c r="E63" s="114"/>
      <c r="F63" s="114"/>
      <c r="G63" s="26"/>
      <c r="H63" s="114" t="s">
        <v>405</v>
      </c>
      <c r="I63" s="257" t="s">
        <v>406</v>
      </c>
      <c r="J63" s="26"/>
      <c r="K63" s="113"/>
    </row>
    <row r="64" spans="1:11" ht="12.75">
      <c r="A64" s="26" t="s">
        <v>407</v>
      </c>
      <c r="B64" s="113"/>
      <c r="C64" s="113"/>
      <c r="D64" s="113"/>
      <c r="E64" s="114"/>
      <c r="F64" s="114"/>
      <c r="G64" s="26"/>
      <c r="H64" s="114" t="s">
        <v>408</v>
      </c>
      <c r="I64" s="257" t="s">
        <v>409</v>
      </c>
      <c r="J64" s="26"/>
      <c r="K64" s="113"/>
    </row>
    <row r="65" ht="12.75">
      <c r="D65"/>
    </row>
    <row r="66" ht="12.75">
      <c r="D66"/>
    </row>
    <row r="67" ht="12.75">
      <c r="D67"/>
    </row>
    <row r="68" ht="12.75">
      <c r="D68"/>
    </row>
    <row r="69" spans="1:13" ht="14.25">
      <c r="A69" s="108" t="s">
        <v>652</v>
      </c>
      <c r="B69" s="109"/>
      <c r="C69" s="109"/>
      <c r="D69" s="109"/>
      <c r="E69" s="258"/>
      <c r="F69" s="258"/>
      <c r="G69" s="110"/>
      <c r="H69" s="110"/>
      <c r="I69" s="109"/>
      <c r="J69" s="109"/>
      <c r="K69" s="109"/>
      <c r="L69" s="258"/>
      <c r="M69" s="111" t="s">
        <v>410</v>
      </c>
    </row>
    <row r="70" spans="1:13" ht="12.75">
      <c r="A70" s="26"/>
      <c r="B70" s="112"/>
      <c r="C70" s="112"/>
      <c r="D70" s="112"/>
      <c r="E70" s="259"/>
      <c r="F70" s="259"/>
      <c r="G70" s="26"/>
      <c r="H70" s="26"/>
      <c r="I70" s="113"/>
      <c r="J70" s="113"/>
      <c r="K70" s="113"/>
      <c r="L70" s="260"/>
      <c r="M70" s="260"/>
    </row>
    <row r="71" spans="1:13" ht="14.25">
      <c r="A71" s="108" t="s">
        <v>118</v>
      </c>
      <c r="B71" s="113"/>
      <c r="C71" s="113"/>
      <c r="D71" s="113"/>
      <c r="E71" s="259" t="s">
        <v>119</v>
      </c>
      <c r="F71" s="259" t="s">
        <v>119</v>
      </c>
      <c r="G71" s="26"/>
      <c r="H71" s="108" t="s">
        <v>118</v>
      </c>
      <c r="I71" s="113"/>
      <c r="J71" s="113"/>
      <c r="K71" s="113"/>
      <c r="L71" s="259" t="s">
        <v>119</v>
      </c>
      <c r="M71" s="259" t="s">
        <v>119</v>
      </c>
    </row>
    <row r="72" spans="1:13" ht="12.75">
      <c r="A72" s="26"/>
      <c r="B72" s="113"/>
      <c r="C72" s="112" t="s">
        <v>27</v>
      </c>
      <c r="D72" s="113"/>
      <c r="E72" s="259" t="s">
        <v>120</v>
      </c>
      <c r="F72" s="259" t="s">
        <v>121</v>
      </c>
      <c r="G72" s="26"/>
      <c r="H72" s="26"/>
      <c r="I72" s="113"/>
      <c r="J72" s="112" t="s">
        <v>27</v>
      </c>
      <c r="K72" s="113"/>
      <c r="L72" s="259" t="s">
        <v>120</v>
      </c>
      <c r="M72" s="259" t="s">
        <v>121</v>
      </c>
    </row>
    <row r="73" spans="1:13" ht="12.75">
      <c r="A73" s="115" t="s">
        <v>122</v>
      </c>
      <c r="B73" s="112" t="s">
        <v>123</v>
      </c>
      <c r="C73" s="269" t="s">
        <v>124</v>
      </c>
      <c r="D73" s="112" t="s">
        <v>125</v>
      </c>
      <c r="E73" s="259" t="s">
        <v>126</v>
      </c>
      <c r="F73" s="259" t="s">
        <v>126</v>
      </c>
      <c r="G73" s="26"/>
      <c r="H73" s="115" t="s">
        <v>122</v>
      </c>
      <c r="I73" s="112" t="s">
        <v>123</v>
      </c>
      <c r="J73" s="269" t="s">
        <v>124</v>
      </c>
      <c r="K73" s="112" t="s">
        <v>125</v>
      </c>
      <c r="L73" s="259" t="s">
        <v>126</v>
      </c>
      <c r="M73" s="259" t="s">
        <v>126</v>
      </c>
    </row>
    <row r="74" spans="1:13" ht="12.75">
      <c r="A74" s="116" t="s">
        <v>411</v>
      </c>
      <c r="B74" s="112"/>
      <c r="C74" s="269"/>
      <c r="D74" s="112"/>
      <c r="E74" s="259"/>
      <c r="F74" s="259"/>
      <c r="G74" s="26"/>
      <c r="H74" s="116" t="s">
        <v>411</v>
      </c>
      <c r="I74" s="112"/>
      <c r="J74" s="269"/>
      <c r="K74" s="112"/>
      <c r="L74" s="259"/>
      <c r="M74" s="259"/>
    </row>
    <row r="75" spans="1:13" ht="12.75">
      <c r="A75" s="117" t="s">
        <v>127</v>
      </c>
      <c r="B75" s="118"/>
      <c r="C75" s="270"/>
      <c r="D75" s="118"/>
      <c r="E75" s="261"/>
      <c r="F75" s="261"/>
      <c r="G75" s="119"/>
      <c r="H75" s="117" t="s">
        <v>128</v>
      </c>
      <c r="I75" s="118"/>
      <c r="J75" s="270"/>
      <c r="K75" s="118"/>
      <c r="L75" s="261"/>
      <c r="M75" s="261"/>
    </row>
    <row r="76" spans="1:13" ht="12.75">
      <c r="A76" s="120" t="s">
        <v>129</v>
      </c>
      <c r="B76" s="118">
        <v>630</v>
      </c>
      <c r="C76" s="270">
        <v>599</v>
      </c>
      <c r="D76" s="118">
        <v>570</v>
      </c>
      <c r="E76" s="261">
        <v>-0.06</v>
      </c>
      <c r="F76" s="261">
        <v>0.01</v>
      </c>
      <c r="G76" s="119"/>
      <c r="H76" s="120" t="s">
        <v>130</v>
      </c>
      <c r="I76" s="118">
        <v>1300</v>
      </c>
      <c r="J76" s="270">
        <v>1134</v>
      </c>
      <c r="K76" s="118">
        <v>900</v>
      </c>
      <c r="L76" s="124">
        <v>0.01</v>
      </c>
      <c r="M76" s="124">
        <v>0.47</v>
      </c>
    </row>
    <row r="77" spans="1:13" ht="12.75">
      <c r="A77" s="120" t="s">
        <v>131</v>
      </c>
      <c r="B77" s="118">
        <v>600</v>
      </c>
      <c r="C77" s="270">
        <v>557</v>
      </c>
      <c r="D77" s="118">
        <v>525</v>
      </c>
      <c r="E77" s="261">
        <v>-0.05</v>
      </c>
      <c r="F77" s="261">
        <v>0.02</v>
      </c>
      <c r="G77" s="119"/>
      <c r="H77" s="121" t="s">
        <v>132</v>
      </c>
      <c r="I77" s="118">
        <v>1150</v>
      </c>
      <c r="J77" s="270">
        <v>740</v>
      </c>
      <c r="K77" s="118">
        <v>500</v>
      </c>
      <c r="L77" s="261">
        <v>-0.09</v>
      </c>
      <c r="M77" s="124" t="s">
        <v>141</v>
      </c>
    </row>
    <row r="78" spans="1:13" ht="12.75">
      <c r="A78" s="120" t="s">
        <v>133</v>
      </c>
      <c r="B78" s="118">
        <v>600</v>
      </c>
      <c r="C78" s="270">
        <v>570</v>
      </c>
      <c r="D78" s="118">
        <v>550</v>
      </c>
      <c r="E78" s="261">
        <v>-0.04</v>
      </c>
      <c r="F78" s="261">
        <v>0.03</v>
      </c>
      <c r="G78" s="119"/>
      <c r="H78" s="122"/>
      <c r="I78" s="118"/>
      <c r="J78" s="270"/>
      <c r="K78" s="118"/>
      <c r="L78" s="261"/>
      <c r="M78" s="262"/>
    </row>
    <row r="79" spans="1:13" ht="12.75">
      <c r="A79" s="120" t="s">
        <v>134</v>
      </c>
      <c r="B79" s="118">
        <v>520</v>
      </c>
      <c r="C79" s="270">
        <v>466</v>
      </c>
      <c r="D79" s="118">
        <v>380</v>
      </c>
      <c r="E79" s="261">
        <v>-0.03</v>
      </c>
      <c r="F79" s="261">
        <v>-0.05</v>
      </c>
      <c r="G79" s="119"/>
      <c r="H79" s="122" t="s">
        <v>135</v>
      </c>
      <c r="I79" s="118"/>
      <c r="J79" s="270"/>
      <c r="K79" s="118"/>
      <c r="L79" s="261"/>
      <c r="M79" s="262"/>
    </row>
    <row r="80" spans="1:13" ht="12.75">
      <c r="A80" s="120" t="s">
        <v>136</v>
      </c>
      <c r="B80" s="118">
        <v>560</v>
      </c>
      <c r="C80" s="270">
        <v>518</v>
      </c>
      <c r="D80" s="118">
        <v>500</v>
      </c>
      <c r="E80" s="261">
        <v>-0.04</v>
      </c>
      <c r="F80" s="261">
        <v>0</v>
      </c>
      <c r="G80" s="119"/>
      <c r="H80" s="120" t="s">
        <v>137</v>
      </c>
      <c r="I80" s="118">
        <v>650</v>
      </c>
      <c r="J80" s="270">
        <v>586</v>
      </c>
      <c r="K80" s="118">
        <v>540</v>
      </c>
      <c r="L80" s="263">
        <v>0</v>
      </c>
      <c r="M80" s="261">
        <v>0.11</v>
      </c>
    </row>
    <row r="81" spans="1:13" ht="12.75">
      <c r="A81" s="117"/>
      <c r="B81" s="123"/>
      <c r="C81" s="271"/>
      <c r="D81" s="123"/>
      <c r="E81" s="264"/>
      <c r="F81" s="264"/>
      <c r="G81" s="119"/>
      <c r="H81" s="120" t="s">
        <v>130</v>
      </c>
      <c r="I81" s="118">
        <v>600</v>
      </c>
      <c r="J81" s="270">
        <v>497</v>
      </c>
      <c r="K81" s="118">
        <v>325</v>
      </c>
      <c r="L81" s="261">
        <v>0</v>
      </c>
      <c r="M81" s="265">
        <v>0.08</v>
      </c>
    </row>
    <row r="82" spans="1:13" ht="12.75">
      <c r="A82" s="117" t="s">
        <v>138</v>
      </c>
      <c r="B82" s="123"/>
      <c r="C82" s="271"/>
      <c r="D82" s="123"/>
      <c r="E82" s="264"/>
      <c r="F82" s="264"/>
      <c r="G82" s="119"/>
      <c r="H82" s="120" t="s">
        <v>139</v>
      </c>
      <c r="I82" s="118">
        <v>177</v>
      </c>
      <c r="J82" s="270">
        <v>139</v>
      </c>
      <c r="K82" s="118">
        <v>100</v>
      </c>
      <c r="L82" s="261">
        <v>0</v>
      </c>
      <c r="M82" s="261">
        <v>0.16</v>
      </c>
    </row>
    <row r="83" spans="1:13" ht="12.75">
      <c r="A83" s="120" t="s">
        <v>137</v>
      </c>
      <c r="B83" s="118">
        <v>550</v>
      </c>
      <c r="C83" s="270">
        <v>467</v>
      </c>
      <c r="D83" s="118">
        <v>400</v>
      </c>
      <c r="E83" s="261">
        <v>-0.01</v>
      </c>
      <c r="F83" s="261">
        <v>-0.01</v>
      </c>
      <c r="G83" s="119"/>
      <c r="H83" s="120" t="s">
        <v>140</v>
      </c>
      <c r="I83" s="118">
        <v>26</v>
      </c>
      <c r="J83" s="270">
        <v>22</v>
      </c>
      <c r="K83" s="118">
        <v>16</v>
      </c>
      <c r="L83" s="124">
        <v>0</v>
      </c>
      <c r="M83" s="124">
        <v>0</v>
      </c>
    </row>
    <row r="84" spans="1:13" ht="12.75">
      <c r="A84" s="120" t="s">
        <v>130</v>
      </c>
      <c r="B84" s="118">
        <v>475</v>
      </c>
      <c r="C84" s="270">
        <v>391</v>
      </c>
      <c r="D84" s="118">
        <v>300</v>
      </c>
      <c r="E84" s="261">
        <v>-0.02</v>
      </c>
      <c r="F84" s="261">
        <v>-0.11</v>
      </c>
      <c r="G84" s="119"/>
      <c r="H84" s="120"/>
      <c r="I84" s="118"/>
      <c r="J84" s="270"/>
      <c r="K84" s="118"/>
      <c r="L84" s="124"/>
      <c r="M84" s="261"/>
    </row>
    <row r="85" spans="1:13" ht="12.75">
      <c r="A85" s="120" t="s">
        <v>132</v>
      </c>
      <c r="B85" s="118">
        <v>500</v>
      </c>
      <c r="C85" s="270">
        <v>423</v>
      </c>
      <c r="D85" s="118">
        <v>375</v>
      </c>
      <c r="E85" s="261">
        <v>0.06</v>
      </c>
      <c r="F85" s="261">
        <v>0.13</v>
      </c>
      <c r="G85" s="119"/>
      <c r="H85" s="125" t="s">
        <v>142</v>
      </c>
      <c r="I85" s="118"/>
      <c r="J85" s="270"/>
      <c r="K85" s="118"/>
      <c r="L85" s="261"/>
      <c r="M85" s="261"/>
    </row>
    <row r="86" spans="1:13" ht="12.75">
      <c r="A86" s="120" t="s">
        <v>143</v>
      </c>
      <c r="B86" s="118">
        <v>427</v>
      </c>
      <c r="C86" s="270">
        <v>400</v>
      </c>
      <c r="D86" s="118">
        <v>360</v>
      </c>
      <c r="E86" s="261">
        <v>-0.01</v>
      </c>
      <c r="F86" s="261">
        <v>-0.01</v>
      </c>
      <c r="G86" s="119"/>
      <c r="H86" s="121" t="s">
        <v>137</v>
      </c>
      <c r="I86" s="118">
        <v>450</v>
      </c>
      <c r="J86" s="270">
        <v>383</v>
      </c>
      <c r="K86" s="118">
        <v>250</v>
      </c>
      <c r="L86" s="124">
        <v>0</v>
      </c>
      <c r="M86" s="124" t="s">
        <v>141</v>
      </c>
    </row>
    <row r="87" spans="1:13" ht="12.75">
      <c r="A87" s="266" t="s">
        <v>144</v>
      </c>
      <c r="B87" s="118">
        <v>59</v>
      </c>
      <c r="C87" s="270">
        <v>57</v>
      </c>
      <c r="D87" s="118">
        <v>55</v>
      </c>
      <c r="E87" s="124">
        <v>0</v>
      </c>
      <c r="F87" s="124" t="s">
        <v>141</v>
      </c>
      <c r="G87" s="119"/>
      <c r="H87" s="121" t="s">
        <v>130</v>
      </c>
      <c r="I87" s="118">
        <v>425</v>
      </c>
      <c r="J87" s="270">
        <v>330</v>
      </c>
      <c r="K87" s="118">
        <v>200</v>
      </c>
      <c r="L87" s="124">
        <v>0</v>
      </c>
      <c r="M87" s="261">
        <v>-0.06</v>
      </c>
    </row>
    <row r="88" spans="1:13" ht="12.75">
      <c r="A88" s="120" t="s">
        <v>139</v>
      </c>
      <c r="B88" s="118">
        <v>132</v>
      </c>
      <c r="C88" s="270">
        <v>104</v>
      </c>
      <c r="D88" s="118">
        <v>50</v>
      </c>
      <c r="E88" s="124">
        <v>0</v>
      </c>
      <c r="F88" s="261">
        <v>0.08</v>
      </c>
      <c r="G88" s="119"/>
      <c r="H88" s="121" t="s">
        <v>139</v>
      </c>
      <c r="I88" s="118">
        <v>125</v>
      </c>
      <c r="J88" s="270">
        <v>108</v>
      </c>
      <c r="K88" s="118">
        <v>100</v>
      </c>
      <c r="L88" s="124">
        <v>0</v>
      </c>
      <c r="M88" s="124" t="s">
        <v>141</v>
      </c>
    </row>
    <row r="89" spans="1:13" ht="12.75">
      <c r="A89" s="122"/>
      <c r="B89" s="118"/>
      <c r="C89" s="270"/>
      <c r="D89" s="118"/>
      <c r="E89" s="261"/>
      <c r="F89" s="261"/>
      <c r="G89" s="126"/>
      <c r="H89" s="121" t="s">
        <v>140</v>
      </c>
      <c r="I89" s="118">
        <v>20</v>
      </c>
      <c r="J89" s="270">
        <v>20</v>
      </c>
      <c r="K89" s="118">
        <v>20</v>
      </c>
      <c r="L89" s="124">
        <v>0</v>
      </c>
      <c r="M89" s="124" t="s">
        <v>141</v>
      </c>
    </row>
    <row r="90" spans="1:13" ht="12.75">
      <c r="A90" s="122" t="s">
        <v>145</v>
      </c>
      <c r="B90" s="118"/>
      <c r="C90" s="270"/>
      <c r="D90" s="118"/>
      <c r="E90" s="261"/>
      <c r="F90" s="261"/>
      <c r="G90" s="126"/>
      <c r="H90" s="125"/>
      <c r="I90" s="118"/>
      <c r="J90" s="270"/>
      <c r="K90" s="118"/>
      <c r="L90" s="261"/>
      <c r="M90" s="261"/>
    </row>
    <row r="91" spans="1:13" ht="12.75">
      <c r="A91" s="120" t="s">
        <v>129</v>
      </c>
      <c r="B91" s="118">
        <v>350</v>
      </c>
      <c r="C91" s="270">
        <v>289</v>
      </c>
      <c r="D91" s="118">
        <v>210</v>
      </c>
      <c r="E91" s="261">
        <v>-0.02</v>
      </c>
      <c r="F91" s="261">
        <v>-0.1</v>
      </c>
      <c r="G91" s="119"/>
      <c r="H91" s="125" t="s">
        <v>146</v>
      </c>
      <c r="I91" s="118"/>
      <c r="J91" s="270"/>
      <c r="K91" s="118"/>
      <c r="L91" s="261"/>
      <c r="M91" s="261"/>
    </row>
    <row r="92" spans="1:13" ht="12.75">
      <c r="A92" s="120" t="s">
        <v>131</v>
      </c>
      <c r="B92" s="118">
        <v>300</v>
      </c>
      <c r="C92" s="270">
        <v>274</v>
      </c>
      <c r="D92" s="118">
        <v>210</v>
      </c>
      <c r="E92" s="261">
        <v>-0.04</v>
      </c>
      <c r="F92" s="261">
        <v>-0.14</v>
      </c>
      <c r="G92" s="119"/>
      <c r="H92" s="121" t="s">
        <v>140</v>
      </c>
      <c r="I92" s="118">
        <v>20</v>
      </c>
      <c r="J92" s="270">
        <v>19</v>
      </c>
      <c r="K92" s="118">
        <v>18</v>
      </c>
      <c r="L92" s="124">
        <v>0</v>
      </c>
      <c r="M92" s="124" t="s">
        <v>141</v>
      </c>
    </row>
    <row r="93" spans="1:13" ht="12.75">
      <c r="A93" s="120" t="s">
        <v>147</v>
      </c>
      <c r="B93" s="118">
        <v>300</v>
      </c>
      <c r="C93" s="270">
        <v>270</v>
      </c>
      <c r="D93" s="118">
        <v>200</v>
      </c>
      <c r="E93" s="261">
        <v>-0.02</v>
      </c>
      <c r="F93" s="261">
        <v>-0.09</v>
      </c>
      <c r="G93" s="119"/>
      <c r="H93" s="26"/>
      <c r="I93" s="113"/>
      <c r="J93" s="113"/>
      <c r="K93" s="113"/>
      <c r="L93" s="260"/>
      <c r="M93" s="260"/>
    </row>
    <row r="94" spans="1:13" ht="12.75">
      <c r="A94" s="120" t="s">
        <v>136</v>
      </c>
      <c r="B94" s="118">
        <v>300</v>
      </c>
      <c r="C94" s="270">
        <v>262</v>
      </c>
      <c r="D94" s="118">
        <v>200</v>
      </c>
      <c r="E94" s="261">
        <v>-0.03</v>
      </c>
      <c r="F94" s="261">
        <v>-0.17</v>
      </c>
      <c r="G94" s="119"/>
      <c r="H94" s="26"/>
      <c r="I94" s="113"/>
      <c r="J94" s="113"/>
      <c r="K94" s="113"/>
      <c r="L94" s="260"/>
      <c r="M94" s="260"/>
    </row>
    <row r="95" spans="1:13" ht="12.75">
      <c r="A95" s="120"/>
      <c r="B95" s="118"/>
      <c r="C95" s="270"/>
      <c r="D95" s="118"/>
      <c r="E95" s="261"/>
      <c r="F95" s="261"/>
      <c r="G95" s="26"/>
      <c r="H95" s="26"/>
      <c r="I95" s="113"/>
      <c r="J95" s="113"/>
      <c r="K95" s="113"/>
      <c r="L95" s="260"/>
      <c r="M95" s="260"/>
    </row>
    <row r="96" spans="1:13" ht="12.75">
      <c r="A96" s="117" t="s">
        <v>148</v>
      </c>
      <c r="B96" s="123"/>
      <c r="C96" s="271"/>
      <c r="D96" s="123"/>
      <c r="E96" s="267"/>
      <c r="F96" s="267"/>
      <c r="G96" s="26"/>
      <c r="H96" s="26"/>
      <c r="I96" s="113"/>
      <c r="J96" s="113"/>
      <c r="K96" s="113"/>
      <c r="L96" s="260"/>
      <c r="M96" s="260"/>
    </row>
    <row r="97" spans="1:13" ht="12.75">
      <c r="A97" s="120" t="s">
        <v>137</v>
      </c>
      <c r="B97" s="118">
        <v>350</v>
      </c>
      <c r="C97" s="270">
        <v>312</v>
      </c>
      <c r="D97" s="118">
        <v>245</v>
      </c>
      <c r="E97" s="261">
        <v>-0.01</v>
      </c>
      <c r="F97" s="261">
        <v>-0.02</v>
      </c>
      <c r="G97" s="26"/>
      <c r="H97" s="26"/>
      <c r="I97" s="113"/>
      <c r="J97" s="113"/>
      <c r="K97" s="113"/>
      <c r="L97" s="260"/>
      <c r="M97" s="260"/>
    </row>
    <row r="98" spans="1:13" ht="12.75">
      <c r="A98" s="127" t="s">
        <v>130</v>
      </c>
      <c r="B98" s="118">
        <v>350</v>
      </c>
      <c r="C98" s="270">
        <v>262</v>
      </c>
      <c r="D98" s="118">
        <v>220</v>
      </c>
      <c r="E98" s="261">
        <v>0</v>
      </c>
      <c r="F98" s="261">
        <v>-0.06</v>
      </c>
      <c r="G98" s="26"/>
      <c r="H98" s="26"/>
      <c r="I98" s="113"/>
      <c r="J98" s="113"/>
      <c r="K98" s="113"/>
      <c r="L98" s="260"/>
      <c r="M98" s="260"/>
    </row>
    <row r="99" spans="1:13" ht="12.75">
      <c r="A99" s="120" t="s">
        <v>132</v>
      </c>
      <c r="B99" s="118">
        <v>350</v>
      </c>
      <c r="C99" s="270">
        <v>236</v>
      </c>
      <c r="D99" s="118">
        <v>158</v>
      </c>
      <c r="E99" s="261">
        <v>0</v>
      </c>
      <c r="F99" s="261">
        <v>-0.03</v>
      </c>
      <c r="G99" s="26"/>
      <c r="H99" s="26"/>
      <c r="I99" s="113"/>
      <c r="J99" s="113"/>
      <c r="K99" s="113"/>
      <c r="L99" s="260"/>
      <c r="M99" s="260"/>
    </row>
    <row r="100" spans="1:13" ht="12.75">
      <c r="A100" s="120" t="s">
        <v>143</v>
      </c>
      <c r="B100" s="118">
        <v>238</v>
      </c>
      <c r="C100" s="270">
        <v>214</v>
      </c>
      <c r="D100" s="118">
        <v>180</v>
      </c>
      <c r="E100" s="261">
        <v>0.03</v>
      </c>
      <c r="F100" s="261">
        <v>-0.13</v>
      </c>
      <c r="G100" s="26"/>
      <c r="H100" s="26"/>
      <c r="I100" s="113"/>
      <c r="J100" s="113"/>
      <c r="K100" s="113"/>
      <c r="L100" s="260"/>
      <c r="M100" s="260"/>
    </row>
    <row r="101" spans="1:13" ht="12.75">
      <c r="A101" s="266" t="s">
        <v>144</v>
      </c>
      <c r="B101" s="118">
        <v>34</v>
      </c>
      <c r="C101" s="270">
        <v>33</v>
      </c>
      <c r="D101" s="118">
        <v>33</v>
      </c>
      <c r="E101" s="261">
        <v>0.06</v>
      </c>
      <c r="F101" s="124" t="s">
        <v>141</v>
      </c>
      <c r="G101" s="26"/>
      <c r="H101" s="26"/>
      <c r="I101" s="113"/>
      <c r="J101" s="113"/>
      <c r="K101" s="113"/>
      <c r="L101" s="260"/>
      <c r="M101" s="260"/>
    </row>
    <row r="102" spans="1:13" ht="12.75">
      <c r="A102" s="120" t="s">
        <v>139</v>
      </c>
      <c r="B102" s="118">
        <v>125</v>
      </c>
      <c r="C102" s="270">
        <v>92</v>
      </c>
      <c r="D102" s="118">
        <v>50</v>
      </c>
      <c r="E102" s="124">
        <v>0</v>
      </c>
      <c r="F102" s="261">
        <v>0.1</v>
      </c>
      <c r="G102" s="26"/>
      <c r="H102" s="26"/>
      <c r="I102" s="113"/>
      <c r="J102" s="113"/>
      <c r="K102" s="113"/>
      <c r="L102" s="260"/>
      <c r="M102" s="260"/>
    </row>
    <row r="103" spans="1:13" ht="12.75">
      <c r="A103" s="120"/>
      <c r="B103" s="118"/>
      <c r="C103" s="270"/>
      <c r="D103" s="118"/>
      <c r="E103" s="124"/>
      <c r="F103" s="261"/>
      <c r="G103" s="26"/>
      <c r="H103" s="26"/>
      <c r="I103" s="113"/>
      <c r="J103" s="113"/>
      <c r="K103" s="113"/>
      <c r="L103" s="260"/>
      <c r="M103" s="260"/>
    </row>
    <row r="104" spans="1:2" ht="14.25">
      <c r="A104" s="268"/>
      <c r="B104" s="268"/>
    </row>
    <row r="105" spans="1:2" ht="14.25">
      <c r="A105" s="268"/>
      <c r="B105" s="268"/>
    </row>
    <row r="106" spans="1:2" ht="14.25">
      <c r="A106" s="268"/>
      <c r="B106" s="268"/>
    </row>
    <row r="107" spans="1:2" ht="14.25">
      <c r="A107" s="268"/>
      <c r="B107" s="268"/>
    </row>
    <row r="108" spans="1:2" ht="14.25">
      <c r="A108" s="268"/>
      <c r="B108" s="268"/>
    </row>
    <row r="109" spans="1:2" ht="14.25">
      <c r="A109" s="268"/>
      <c r="B109" s="268"/>
    </row>
    <row r="110" spans="1:2" ht="14.25">
      <c r="A110" s="268"/>
      <c r="B110" s="268"/>
    </row>
    <row r="111" spans="1:2" ht="14.25">
      <c r="A111" s="268"/>
      <c r="B111" s="268"/>
    </row>
    <row r="112" spans="1:2" ht="14.25">
      <c r="A112" s="268"/>
      <c r="B112" s="268"/>
    </row>
    <row r="113" spans="1:2" ht="14.25">
      <c r="A113" s="268"/>
      <c r="B113" s="268"/>
    </row>
    <row r="114" spans="1:2" ht="14.25">
      <c r="A114" s="268"/>
      <c r="B114" s="268"/>
    </row>
    <row r="115" spans="1:2" ht="14.25">
      <c r="A115" s="268"/>
      <c r="B115" s="268"/>
    </row>
    <row r="116" spans="1:2" ht="14.25">
      <c r="A116" s="268"/>
      <c r="B116" s="268"/>
    </row>
    <row r="117" spans="1:2" ht="14.25">
      <c r="A117" s="268"/>
      <c r="B117" s="268"/>
    </row>
    <row r="118" spans="1:2" ht="14.25">
      <c r="A118" s="268"/>
      <c r="B118" s="268"/>
    </row>
    <row r="119" spans="1:2" ht="14.25">
      <c r="A119" s="268"/>
      <c r="B119" s="268"/>
    </row>
  </sheetData>
  <printOptions/>
  <pageMargins left="0.58" right="0.75" top="0.98" bottom="0.88" header="0.5" footer="0.5"/>
  <pageSetup fitToHeight="2" horizontalDpi="300" verticalDpi="300" orientation="portrait" scale="77" r:id="rId4"/>
  <headerFooter alignWithMargins="0">
    <oddHeader>&amp;LFile Name: &amp;F, Sheet Name: &amp;A&amp;R&amp;D, &amp;T</oddHeader>
    <oddFooter>&amp;LPrepared by:
Carolyn Henri
Resource Consulting&amp;RNumbers in blue can be modified by the user</oddFooter>
  </headerFooter>
  <rowBreaks count="1" manualBreakCount="1">
    <brk id="31" max="4" man="1"/>
  </rowBreaks>
  <drawing r:id="rId3"/>
  <legacyDrawing r:id="rId2"/>
</worksheet>
</file>

<file path=xl/worksheets/sheet5.xml><?xml version="1.0" encoding="utf-8"?>
<worksheet xmlns="http://schemas.openxmlformats.org/spreadsheetml/2006/main" xmlns:r="http://schemas.openxmlformats.org/officeDocument/2006/relationships">
  <sheetPr codeName="Sheet6"/>
  <dimension ref="A1:Q45"/>
  <sheetViews>
    <sheetView showGridLines="0" workbookViewId="0" topLeftCell="A1">
      <selection activeCell="A1" sqref="A1"/>
    </sheetView>
  </sheetViews>
  <sheetFormatPr defaultColWidth="9.140625" defaultRowHeight="12.75"/>
  <cols>
    <col min="1" max="1" width="24.140625" style="0" customWidth="1"/>
    <col min="3" max="3" width="12.8515625" style="0" customWidth="1"/>
    <col min="5" max="5" width="13.140625" style="0" customWidth="1"/>
    <col min="6" max="6" width="15.140625" style="0" customWidth="1"/>
    <col min="11" max="11" width="10.57421875" style="0" customWidth="1"/>
    <col min="13" max="13" width="10.00390625" style="0" customWidth="1"/>
    <col min="14" max="14" width="11.28125" style="0" customWidth="1"/>
    <col min="15" max="15" width="10.421875" style="0" customWidth="1"/>
  </cols>
  <sheetData>
    <row r="1" spans="1:6" ht="26.25" customHeight="1">
      <c r="A1" s="627" t="s">
        <v>491</v>
      </c>
      <c r="F1" s="64"/>
    </row>
    <row r="2" spans="1:6" ht="41.25" customHeight="1">
      <c r="A2" s="311" t="s">
        <v>492</v>
      </c>
      <c r="B2" s="312" t="s">
        <v>0</v>
      </c>
      <c r="C2" s="312" t="s">
        <v>508</v>
      </c>
      <c r="D2" s="312" t="s">
        <v>11</v>
      </c>
      <c r="E2" s="313" t="s">
        <v>509</v>
      </c>
      <c r="F2" s="314" t="s">
        <v>493</v>
      </c>
    </row>
    <row r="3" spans="1:6" ht="18" customHeight="1">
      <c r="A3" s="628" t="s">
        <v>453</v>
      </c>
      <c r="B3" s="629" t="s">
        <v>23</v>
      </c>
      <c r="C3" s="630">
        <f>'Farm &amp; Buffer Assumptions'!C52</f>
        <v>5.5</v>
      </c>
      <c r="D3" s="630">
        <f>Prices!C14</f>
        <v>90</v>
      </c>
      <c r="E3" s="631">
        <f>SUM(B15:M15)</f>
        <v>45</v>
      </c>
      <c r="F3" s="632">
        <f>PRODUCT(C3:E3)</f>
        <v>22275</v>
      </c>
    </row>
    <row r="4" spans="1:6" ht="18" customHeight="1">
      <c r="A4" s="628" t="s">
        <v>454</v>
      </c>
      <c r="B4" s="629" t="s">
        <v>23</v>
      </c>
      <c r="C4" s="630">
        <f>'Farm &amp; Buffer Assumptions'!C53</f>
        <v>5</v>
      </c>
      <c r="D4" s="630">
        <f>Prices!C15</f>
        <v>82</v>
      </c>
      <c r="E4" s="631">
        <f>SUM(B16:M16)</f>
        <v>21.599999999999998</v>
      </c>
      <c r="F4" s="632">
        <f>PRODUCT(C4:E4)</f>
        <v>8856</v>
      </c>
    </row>
    <row r="5" spans="1:6" ht="18" customHeight="1">
      <c r="A5" s="628" t="s">
        <v>455</v>
      </c>
      <c r="B5" s="629" t="s">
        <v>23</v>
      </c>
      <c r="C5" s="630">
        <f>'Farm &amp; Buffer Assumptions'!C54</f>
        <v>16.5</v>
      </c>
      <c r="D5" s="630">
        <f>Prices!C16</f>
        <v>48</v>
      </c>
      <c r="E5" s="631">
        <f>SUM(B17:M17)</f>
        <v>0.75</v>
      </c>
      <c r="F5" s="632">
        <f>PRODUCT(C5:E5)</f>
        <v>594</v>
      </c>
    </row>
    <row r="6" spans="1:6" ht="18" customHeight="1">
      <c r="A6" s="628" t="s">
        <v>456</v>
      </c>
      <c r="B6" s="629" t="s">
        <v>23</v>
      </c>
      <c r="C6" s="630">
        <f>'Farm &amp; Buffer Assumptions'!C55</f>
        <v>11</v>
      </c>
      <c r="D6" s="630">
        <f>Prices!C17</f>
        <v>43</v>
      </c>
      <c r="E6" s="631">
        <f>SUM(B18:M18)</f>
        <v>19</v>
      </c>
      <c r="F6" s="632">
        <f>PRODUCT(C6:E6)</f>
        <v>8987</v>
      </c>
    </row>
    <row r="7" spans="1:6" ht="18" customHeight="1">
      <c r="A7" s="628" t="s">
        <v>457</v>
      </c>
      <c r="B7" s="629" t="s">
        <v>23</v>
      </c>
      <c r="C7" s="630">
        <f>'Farm &amp; Buffer Assumptions'!C56</f>
        <v>9</v>
      </c>
      <c r="D7" s="630">
        <f>Prices!C18</f>
        <v>62</v>
      </c>
      <c r="E7" s="631">
        <f>SUM(B19:M19)</f>
        <v>3.9780000000000006</v>
      </c>
      <c r="F7" s="632">
        <f>PRODUCT(C7:E7)</f>
        <v>2219.724</v>
      </c>
    </row>
    <row r="8" spans="1:6" ht="18" customHeight="1">
      <c r="A8" s="628" t="s">
        <v>512</v>
      </c>
      <c r="B8" s="629"/>
      <c r="C8" s="630"/>
      <c r="D8" s="630"/>
      <c r="E8" s="631"/>
      <c r="F8" s="632"/>
    </row>
    <row r="9" spans="1:7" ht="18" customHeight="1" thickBot="1">
      <c r="A9" s="305" t="s">
        <v>494</v>
      </c>
      <c r="B9" s="306"/>
      <c r="C9" s="307"/>
      <c r="D9" s="308"/>
      <c r="E9" s="309"/>
      <c r="F9" s="310">
        <f>SUM(F3:F7)</f>
        <v>42931.724</v>
      </c>
      <c r="G9" s="193"/>
    </row>
    <row r="10" ht="12.75">
      <c r="F10" s="64"/>
    </row>
    <row r="11" ht="12.75">
      <c r="F11" s="64"/>
    </row>
    <row r="12" ht="12.75">
      <c r="F12" s="64"/>
    </row>
    <row r="13" spans="1:6" ht="18" customHeight="1" thickBot="1">
      <c r="A13" s="19" t="s">
        <v>495</v>
      </c>
      <c r="F13" s="64"/>
    </row>
    <row r="14" spans="1:13" ht="18" customHeight="1">
      <c r="A14" s="633" t="s">
        <v>492</v>
      </c>
      <c r="B14" s="634" t="s">
        <v>496</v>
      </c>
      <c r="C14" s="634" t="s">
        <v>497</v>
      </c>
      <c r="D14" s="634" t="s">
        <v>498</v>
      </c>
      <c r="E14" s="634" t="s">
        <v>499</v>
      </c>
      <c r="F14" s="635" t="s">
        <v>500</v>
      </c>
      <c r="G14" s="634" t="s">
        <v>501</v>
      </c>
      <c r="H14" s="634" t="s">
        <v>502</v>
      </c>
      <c r="I14" s="634" t="s">
        <v>503</v>
      </c>
      <c r="J14" s="634" t="s">
        <v>504</v>
      </c>
      <c r="K14" s="634" t="s">
        <v>505</v>
      </c>
      <c r="L14" s="634" t="s">
        <v>506</v>
      </c>
      <c r="M14" s="634" t="s">
        <v>507</v>
      </c>
    </row>
    <row r="15" spans="1:13" ht="18" customHeight="1">
      <c r="A15" s="638" t="str">
        <f>A3</f>
        <v>Steer calves</v>
      </c>
      <c r="B15" s="639">
        <v>0</v>
      </c>
      <c r="C15" s="639">
        <v>0</v>
      </c>
      <c r="D15" s="639">
        <v>0</v>
      </c>
      <c r="E15" s="639">
        <v>0</v>
      </c>
      <c r="F15" s="640">
        <v>0</v>
      </c>
      <c r="G15" s="639">
        <v>0</v>
      </c>
      <c r="H15" s="639">
        <v>0</v>
      </c>
      <c r="I15" s="639">
        <v>0</v>
      </c>
      <c r="J15" s="639">
        <v>0</v>
      </c>
      <c r="K15" s="639">
        <v>0</v>
      </c>
      <c r="L15" s="639">
        <f>'Farm &amp; Buffer Assumptions'!B36</f>
        <v>45</v>
      </c>
      <c r="M15" s="639">
        <v>0</v>
      </c>
    </row>
    <row r="16" spans="1:13" ht="18" customHeight="1">
      <c r="A16" s="638" t="str">
        <f>A4</f>
        <v>Heifer calves</v>
      </c>
      <c r="B16" s="639">
        <v>0</v>
      </c>
      <c r="C16" s="639">
        <v>0</v>
      </c>
      <c r="D16" s="639">
        <v>0</v>
      </c>
      <c r="E16" s="639">
        <v>0</v>
      </c>
      <c r="F16" s="640">
        <v>0</v>
      </c>
      <c r="G16" s="639">
        <v>0</v>
      </c>
      <c r="H16" s="639">
        <v>0</v>
      </c>
      <c r="I16" s="639">
        <v>0</v>
      </c>
      <c r="J16" s="639">
        <v>0</v>
      </c>
      <c r="K16" s="639">
        <v>0</v>
      </c>
      <c r="L16" s="641">
        <f>'Farm &amp; Buffer Assumptions'!B37-'Farm &amp; Buffer Assumptions'!B38</f>
        <v>21.599999999999998</v>
      </c>
      <c r="M16" s="639">
        <v>0</v>
      </c>
    </row>
    <row r="17" spans="1:13" ht="18" customHeight="1">
      <c r="A17" s="638" t="str">
        <f>A5</f>
        <v>Aged bull</v>
      </c>
      <c r="B17" s="639">
        <v>0</v>
      </c>
      <c r="C17" s="641">
        <f>'Farm &amp; Buffer Assumptions'!C12/'Farm &amp; Buffer Assumptions'!C13</f>
        <v>0.75</v>
      </c>
      <c r="D17" s="639">
        <v>0</v>
      </c>
      <c r="E17" s="639">
        <v>0</v>
      </c>
      <c r="F17" s="640">
        <v>0</v>
      </c>
      <c r="G17" s="639">
        <v>0</v>
      </c>
      <c r="H17" s="639">
        <v>0</v>
      </c>
      <c r="I17" s="639">
        <v>0</v>
      </c>
      <c r="J17" s="639">
        <v>0</v>
      </c>
      <c r="K17" s="639">
        <v>0</v>
      </c>
      <c r="L17" s="639">
        <v>0</v>
      </c>
      <c r="M17" s="639">
        <v>0</v>
      </c>
    </row>
    <row r="18" spans="1:13" ht="18" customHeight="1">
      <c r="A18" s="638" t="str">
        <f>A6</f>
        <v>Cull cows</v>
      </c>
      <c r="B18" s="639">
        <v>0</v>
      </c>
      <c r="C18" s="639">
        <v>0</v>
      </c>
      <c r="D18" s="639">
        <v>0</v>
      </c>
      <c r="E18" s="639">
        <v>0</v>
      </c>
      <c r="F18" s="640">
        <v>0</v>
      </c>
      <c r="G18" s="639">
        <f>'Farm &amp; Buffer Assumptions'!B34</f>
        <v>19</v>
      </c>
      <c r="H18" s="639">
        <v>0</v>
      </c>
      <c r="I18" s="639">
        <v>0</v>
      </c>
      <c r="J18" s="639">
        <v>0</v>
      </c>
      <c r="K18" s="639">
        <v>0</v>
      </c>
      <c r="L18" s="639">
        <v>0</v>
      </c>
      <c r="M18" s="639">
        <v>0</v>
      </c>
    </row>
    <row r="19" spans="1:13" ht="18" customHeight="1">
      <c r="A19" s="638" t="str">
        <f>A7</f>
        <v>Cull replacement heifer</v>
      </c>
      <c r="B19" s="639">
        <v>0</v>
      </c>
      <c r="C19" s="639">
        <v>0</v>
      </c>
      <c r="D19" s="639">
        <v>0</v>
      </c>
      <c r="E19" s="639">
        <v>0</v>
      </c>
      <c r="F19" s="640">
        <v>0</v>
      </c>
      <c r="G19" s="639">
        <v>0</v>
      </c>
      <c r="H19" s="639">
        <v>0</v>
      </c>
      <c r="I19" s="639">
        <v>0</v>
      </c>
      <c r="J19" s="639">
        <v>0</v>
      </c>
      <c r="K19" s="639">
        <v>0</v>
      </c>
      <c r="L19" s="641">
        <f>'Farm &amp; Buffer Assumptions'!B39</f>
        <v>3.9780000000000006</v>
      </c>
      <c r="M19" s="639">
        <v>0</v>
      </c>
    </row>
    <row r="20" spans="1:13" ht="18" customHeight="1" thickBot="1">
      <c r="A20" s="636"/>
      <c r="B20" s="636"/>
      <c r="C20" s="636"/>
      <c r="D20" s="636"/>
      <c r="E20" s="636"/>
      <c r="F20" s="637"/>
      <c r="G20" s="636"/>
      <c r="H20" s="636"/>
      <c r="I20" s="636"/>
      <c r="J20" s="636"/>
      <c r="K20" s="636"/>
      <c r="L20" s="636"/>
      <c r="M20" s="636"/>
    </row>
    <row r="24" ht="18.75" customHeight="1">
      <c r="A24" s="19" t="s">
        <v>554</v>
      </c>
    </row>
    <row r="25" spans="1:17" ht="27" customHeight="1">
      <c r="A25" s="357" t="s">
        <v>555</v>
      </c>
      <c r="B25" s="357" t="s">
        <v>556</v>
      </c>
      <c r="C25" s="357" t="s">
        <v>496</v>
      </c>
      <c r="D25" s="357" t="s">
        <v>497</v>
      </c>
      <c r="E25" s="357" t="s">
        <v>498</v>
      </c>
      <c r="F25" s="357" t="s">
        <v>557</v>
      </c>
      <c r="G25" s="357" t="s">
        <v>500</v>
      </c>
      <c r="H25" s="357" t="s">
        <v>558</v>
      </c>
      <c r="I25" s="357" t="s">
        <v>559</v>
      </c>
      <c r="J25" s="357" t="s">
        <v>560</v>
      </c>
      <c r="K25" s="357" t="s">
        <v>561</v>
      </c>
      <c r="L25" s="357" t="s">
        <v>562</v>
      </c>
      <c r="M25" s="357" t="s">
        <v>563</v>
      </c>
      <c r="N25" s="363" t="s">
        <v>564</v>
      </c>
      <c r="O25" s="367" t="s">
        <v>582</v>
      </c>
      <c r="Q25" s="361" t="s">
        <v>346</v>
      </c>
    </row>
    <row r="26" spans="1:17" ht="15" customHeight="1">
      <c r="A26" s="563" t="s">
        <v>565</v>
      </c>
      <c r="B26" s="44" t="s">
        <v>23</v>
      </c>
      <c r="C26" s="564">
        <f>'Farm &amp; Buffer Assumptions'!$B$40*'Farm &amp; Buffer Assumptions'!$C$44*31/100</f>
        <v>12.04164</v>
      </c>
      <c r="D26" s="564">
        <f>'Farm &amp; Buffer Assumptions'!$B$40*'Farm &amp; Buffer Assumptions'!$C$44*28/100</f>
        <v>10.87632</v>
      </c>
      <c r="E26" s="564">
        <f>'Farm &amp; Buffer Assumptions'!$B$40*'Farm &amp; Buffer Assumptions'!$C$44*31/100</f>
        <v>12.04164</v>
      </c>
      <c r="F26" s="564">
        <f>'Farm &amp; Buffer Assumptions'!$B$40*'Farm &amp; Buffer Assumptions'!$C$44*30/100</f>
        <v>11.6532</v>
      </c>
      <c r="G26" s="564"/>
      <c r="H26" s="564"/>
      <c r="I26" s="564"/>
      <c r="J26" s="564"/>
      <c r="K26" s="564"/>
      <c r="L26" s="564"/>
      <c r="M26" s="564">
        <f>'Farm &amp; Buffer Assumptions'!$B$40*'Farm &amp; Buffer Assumptions'!$C$44*30/100</f>
        <v>11.6532</v>
      </c>
      <c r="N26" s="564">
        <f>'Farm &amp; Buffer Assumptions'!$B$40*'Farm &amp; Buffer Assumptions'!$C$44*31/100</f>
        <v>12.04164</v>
      </c>
      <c r="O26" s="565">
        <f>SUM(C26:N26)</f>
        <v>70.30763999999999</v>
      </c>
      <c r="Q26" s="362">
        <f>'Farm &amp; Buffer Assumptions'!C44*'Farm &amp; Buffer Assumptions'!B40*'Farm &amp; Buffer Assumptions'!D44/100</f>
        <v>69.9192</v>
      </c>
    </row>
    <row r="27" spans="1:17" ht="15" customHeight="1">
      <c r="A27" s="566" t="s">
        <v>566</v>
      </c>
      <c r="B27" s="25" t="s">
        <v>48</v>
      </c>
      <c r="C27" s="567"/>
      <c r="D27" s="567"/>
      <c r="E27" s="567"/>
      <c r="F27" s="567"/>
      <c r="G27" s="567"/>
      <c r="H27" s="567"/>
      <c r="I27" s="567"/>
      <c r="J27" s="567"/>
      <c r="K27" s="567"/>
      <c r="L27" s="567"/>
      <c r="M27" s="567"/>
      <c r="N27" s="567"/>
      <c r="O27" s="568"/>
      <c r="Q27" s="362"/>
    </row>
    <row r="28" spans="1:17" ht="15" customHeight="1">
      <c r="A28" s="46" t="s">
        <v>477</v>
      </c>
      <c r="B28" s="25" t="s">
        <v>48</v>
      </c>
      <c r="C28" s="567">
        <f>'Farm &amp; Buffer Assumptions'!$B$33*'Farm &amp; Buffer Assumptions'!$B$46*31/2000</f>
        <v>38.75</v>
      </c>
      <c r="D28" s="567">
        <f>'Farm &amp; Buffer Assumptions'!$B$33*'Farm &amp; Buffer Assumptions'!$B$46*28/2000</f>
        <v>35</v>
      </c>
      <c r="E28" s="567">
        <f>'Farm &amp; Buffer Assumptions'!$B$33*'Farm &amp; Buffer Assumptions'!$B$46*31/2000</f>
        <v>38.75</v>
      </c>
      <c r="F28" s="567"/>
      <c r="G28" s="567"/>
      <c r="H28" s="567"/>
      <c r="I28" s="567"/>
      <c r="J28" s="567"/>
      <c r="K28" s="567"/>
      <c r="L28" s="567"/>
      <c r="M28" s="567"/>
      <c r="N28" s="567">
        <f>'Farm &amp; Buffer Assumptions'!$B$33*'Farm &amp; Buffer Assumptions'!$B$46*31/2000</f>
        <v>38.75</v>
      </c>
      <c r="O28" s="569">
        <f aca="true" t="shared" si="0" ref="O28:O41">SUM(C28:N28)</f>
        <v>151.25</v>
      </c>
      <c r="Q28" s="362">
        <f>'Farm &amp; Buffer Assumptions'!$B$33*'Farm &amp; Buffer Assumptions'!$B$46*'Farm &amp; Buffer Assumptions'!D46/2000</f>
        <v>150</v>
      </c>
    </row>
    <row r="29" spans="1:17" ht="15" customHeight="1">
      <c r="A29" s="46" t="s">
        <v>567</v>
      </c>
      <c r="B29" s="25" t="s">
        <v>48</v>
      </c>
      <c r="C29" s="567">
        <f>'Farm &amp; Buffer Assumptions'!$B$40*'Farm &amp; Buffer Assumptions'!$B$45*31/2000</f>
        <v>3.913533</v>
      </c>
      <c r="D29" s="567">
        <f>'Farm &amp; Buffer Assumptions'!$B$40*'Farm &amp; Buffer Assumptions'!$B$45*28/2000</f>
        <v>3.5348040000000003</v>
      </c>
      <c r="E29" s="567">
        <f>'Farm &amp; Buffer Assumptions'!$B$40*'Farm &amp; Buffer Assumptions'!$B$45*31/2000</f>
        <v>3.913533</v>
      </c>
      <c r="F29" s="567"/>
      <c r="G29" s="567"/>
      <c r="H29" s="567"/>
      <c r="I29" s="567"/>
      <c r="J29" s="567"/>
      <c r="K29" s="567"/>
      <c r="L29" s="567"/>
      <c r="M29" s="567"/>
      <c r="N29" s="567">
        <f>'Farm &amp; Buffer Assumptions'!$B$40*'Farm &amp; Buffer Assumptions'!$B$45*31/2000</f>
        <v>3.913533</v>
      </c>
      <c r="O29" s="569">
        <f t="shared" si="0"/>
        <v>15.275403</v>
      </c>
      <c r="Q29" s="362">
        <f>'Farm &amp; Buffer Assumptions'!$B$40*'Farm &amp; Buffer Assumptions'!$B$45*'Farm &amp; Buffer Assumptions'!D45/2000</f>
        <v>15.149160000000002</v>
      </c>
    </row>
    <row r="30" spans="1:17" ht="15" customHeight="1">
      <c r="A30" s="46" t="s">
        <v>474</v>
      </c>
      <c r="B30" s="25" t="s">
        <v>48</v>
      </c>
      <c r="C30" s="567">
        <f>'Farm &amp; Buffer Assumptions'!$C$12*'Farm &amp; Buffer Assumptions'!$B$47*31/2000</f>
        <v>1.302</v>
      </c>
      <c r="D30" s="567">
        <f>'Farm &amp; Buffer Assumptions'!$C$12*'Farm &amp; Buffer Assumptions'!$B$47*28/2000</f>
        <v>1.176</v>
      </c>
      <c r="E30" s="567">
        <f>'Farm &amp; Buffer Assumptions'!$C$12*'Farm &amp; Buffer Assumptions'!$B$47*31/2000</f>
        <v>1.302</v>
      </c>
      <c r="F30" s="567"/>
      <c r="G30" s="567"/>
      <c r="H30" s="567"/>
      <c r="I30" s="567"/>
      <c r="J30" s="567"/>
      <c r="K30" s="567"/>
      <c r="L30" s="567"/>
      <c r="M30" s="567"/>
      <c r="N30" s="567">
        <f>'Farm &amp; Buffer Assumptions'!$C$12*'Farm &amp; Buffer Assumptions'!$B$47*31/2000</f>
        <v>1.302</v>
      </c>
      <c r="O30" s="569">
        <f t="shared" si="0"/>
        <v>5.082</v>
      </c>
      <c r="Q30" s="362">
        <f>'Farm &amp; Buffer Assumptions'!$C$12*'Farm &amp; Buffer Assumptions'!$B$47*'Farm &amp; Buffer Assumptions'!D47/2000</f>
        <v>5.04</v>
      </c>
    </row>
    <row r="31" spans="1:17" ht="15" customHeight="1">
      <c r="A31" s="46" t="s">
        <v>475</v>
      </c>
      <c r="B31" s="25" t="s">
        <v>48</v>
      </c>
      <c r="C31" s="567">
        <f>'Farm &amp; Buffer Assumptions'!$C$14*'Farm &amp; Buffer Assumptions'!$B$48*31/2000</f>
        <v>0.31</v>
      </c>
      <c r="D31" s="567">
        <f>'Farm &amp; Buffer Assumptions'!$C$14*'Farm &amp; Buffer Assumptions'!$B$48*28/2000</f>
        <v>0.28</v>
      </c>
      <c r="E31" s="567">
        <f>'Farm &amp; Buffer Assumptions'!$C$14*'Farm &amp; Buffer Assumptions'!$B$48*31/2000</f>
        <v>0.31</v>
      </c>
      <c r="F31" s="567"/>
      <c r="G31" s="567"/>
      <c r="H31" s="567"/>
      <c r="I31" s="567"/>
      <c r="J31" s="567"/>
      <c r="K31" s="567"/>
      <c r="L31" s="567"/>
      <c r="M31" s="567"/>
      <c r="N31" s="567">
        <f>'Farm &amp; Buffer Assumptions'!$C$14*'Farm &amp; Buffer Assumptions'!$B$48*31/2000</f>
        <v>0.31</v>
      </c>
      <c r="O31" s="569">
        <f t="shared" si="0"/>
        <v>1.2100000000000002</v>
      </c>
      <c r="Q31" s="362">
        <f>'Farm &amp; Buffer Assumptions'!$C$14*'Farm &amp; Buffer Assumptions'!$B$48*'Farm &amp; Buffer Assumptions'!D48/2000</f>
        <v>1.2</v>
      </c>
    </row>
    <row r="32" spans="1:17" ht="15" customHeight="1">
      <c r="A32" s="566" t="s">
        <v>568</v>
      </c>
      <c r="B32" s="25" t="s">
        <v>518</v>
      </c>
      <c r="C32" s="567"/>
      <c r="D32" s="567"/>
      <c r="E32" s="567"/>
      <c r="F32" s="567"/>
      <c r="G32" s="567"/>
      <c r="H32" s="567"/>
      <c r="I32" s="567"/>
      <c r="J32" s="567"/>
      <c r="K32" s="567"/>
      <c r="L32" s="567"/>
      <c r="M32" s="567"/>
      <c r="N32" s="567"/>
      <c r="O32" s="568"/>
      <c r="Q32" s="362"/>
    </row>
    <row r="33" spans="1:17" ht="15" customHeight="1">
      <c r="A33" s="46" t="s">
        <v>477</v>
      </c>
      <c r="B33" s="25" t="s">
        <v>518</v>
      </c>
      <c r="C33" s="567"/>
      <c r="D33" s="567"/>
      <c r="E33" s="567"/>
      <c r="F33" s="567">
        <f>'Farm &amp; Buffer Assumptions'!$B$33</f>
        <v>100</v>
      </c>
      <c r="G33" s="567">
        <f>'Farm &amp; Buffer Assumptions'!$B$33</f>
        <v>100</v>
      </c>
      <c r="H33" s="567">
        <f>'Farm &amp; Buffer Assumptions'!$B$33</f>
        <v>100</v>
      </c>
      <c r="I33" s="567">
        <f>'Farm &amp; Buffer Assumptions'!$B$33</f>
        <v>100</v>
      </c>
      <c r="J33" s="567">
        <f>'Farm &amp; Buffer Assumptions'!$B$33</f>
        <v>100</v>
      </c>
      <c r="K33" s="567">
        <f>'Farm &amp; Buffer Assumptions'!$B$33</f>
        <v>100</v>
      </c>
      <c r="L33" s="567">
        <f>'Farm &amp; Buffer Assumptions'!$B$33</f>
        <v>100</v>
      </c>
      <c r="M33" s="567"/>
      <c r="N33" s="567"/>
      <c r="O33" s="570">
        <f t="shared" si="0"/>
        <v>700</v>
      </c>
      <c r="Q33" s="362">
        <f>7*'Farm &amp; Buffer Assumptions'!B33</f>
        <v>700</v>
      </c>
    </row>
    <row r="34" spans="1:17" ht="15" customHeight="1">
      <c r="A34" s="46" t="s">
        <v>567</v>
      </c>
      <c r="B34" s="25" t="s">
        <v>518</v>
      </c>
      <c r="C34" s="567"/>
      <c r="D34" s="567"/>
      <c r="E34" s="567"/>
      <c r="F34" s="567">
        <f>'Farm &amp; Buffer Assumptions'!$B$40</f>
        <v>19.422</v>
      </c>
      <c r="G34" s="567">
        <f>'Farm &amp; Buffer Assumptions'!$B$40</f>
        <v>19.422</v>
      </c>
      <c r="H34" s="567">
        <f>'Farm &amp; Buffer Assumptions'!$B$40</f>
        <v>19.422</v>
      </c>
      <c r="I34" s="567">
        <f>'Farm &amp; Buffer Assumptions'!$B$40</f>
        <v>19.422</v>
      </c>
      <c r="J34" s="567">
        <f>'Farm &amp; Buffer Assumptions'!$B$40</f>
        <v>19.422</v>
      </c>
      <c r="K34" s="567">
        <f>'Farm &amp; Buffer Assumptions'!$B$40</f>
        <v>19.422</v>
      </c>
      <c r="L34" s="567">
        <f>'Farm &amp; Buffer Assumptions'!$B$40</f>
        <v>19.422</v>
      </c>
      <c r="M34" s="567"/>
      <c r="N34" s="567"/>
      <c r="O34" s="570">
        <f t="shared" si="0"/>
        <v>135.954</v>
      </c>
      <c r="Q34" s="362">
        <f>7*'Farm &amp; Buffer Assumptions'!B40</f>
        <v>135.954</v>
      </c>
    </row>
    <row r="35" spans="1:17" ht="15" customHeight="1">
      <c r="A35" s="46" t="s">
        <v>474</v>
      </c>
      <c r="B35" s="25" t="s">
        <v>518</v>
      </c>
      <c r="C35" s="567"/>
      <c r="D35" s="567"/>
      <c r="E35" s="567"/>
      <c r="F35" s="567">
        <f>'Farm &amp; Buffer Assumptions'!$C$12</f>
        <v>3</v>
      </c>
      <c r="G35" s="567">
        <f>'Farm &amp; Buffer Assumptions'!$C$12</f>
        <v>3</v>
      </c>
      <c r="H35" s="567">
        <f>'Farm &amp; Buffer Assumptions'!$C$12</f>
        <v>3</v>
      </c>
      <c r="I35" s="567">
        <f>'Farm &amp; Buffer Assumptions'!$C$12</f>
        <v>3</v>
      </c>
      <c r="J35" s="567">
        <f>'Farm &amp; Buffer Assumptions'!$C$12</f>
        <v>3</v>
      </c>
      <c r="K35" s="567">
        <f>'Farm &amp; Buffer Assumptions'!$C$12</f>
        <v>3</v>
      </c>
      <c r="L35" s="567">
        <f>'Farm &amp; Buffer Assumptions'!$C$12</f>
        <v>3</v>
      </c>
      <c r="M35" s="567"/>
      <c r="N35" s="567"/>
      <c r="O35" s="570">
        <f t="shared" si="0"/>
        <v>21</v>
      </c>
      <c r="Q35" s="362">
        <f>7*'Farm &amp; Buffer Assumptions'!C12</f>
        <v>21</v>
      </c>
    </row>
    <row r="36" spans="1:17" ht="15" customHeight="1">
      <c r="A36" s="46" t="s">
        <v>475</v>
      </c>
      <c r="B36" s="25" t="s">
        <v>518</v>
      </c>
      <c r="C36" s="567"/>
      <c r="D36" s="567"/>
      <c r="E36" s="567"/>
      <c r="F36" s="567">
        <f>'Farm &amp; Buffer Assumptions'!$C$14</f>
        <v>1</v>
      </c>
      <c r="G36" s="567">
        <f>'Farm &amp; Buffer Assumptions'!$C$14</f>
        <v>1</v>
      </c>
      <c r="H36" s="567">
        <f>'Farm &amp; Buffer Assumptions'!$C$14</f>
        <v>1</v>
      </c>
      <c r="I36" s="567">
        <f>'Farm &amp; Buffer Assumptions'!$C$14</f>
        <v>1</v>
      </c>
      <c r="J36" s="567">
        <f>'Farm &amp; Buffer Assumptions'!$C$14</f>
        <v>1</v>
      </c>
      <c r="K36" s="567">
        <f>'Farm &amp; Buffer Assumptions'!$C$14</f>
        <v>1</v>
      </c>
      <c r="L36" s="567">
        <f>'Farm &amp; Buffer Assumptions'!$C$14</f>
        <v>1</v>
      </c>
      <c r="M36" s="567"/>
      <c r="N36" s="567"/>
      <c r="O36" s="570">
        <f t="shared" si="0"/>
        <v>7</v>
      </c>
      <c r="Q36" s="362">
        <f>7*'Farm &amp; Buffer Assumptions'!C14</f>
        <v>7</v>
      </c>
    </row>
    <row r="37" spans="1:17" ht="15" customHeight="1">
      <c r="A37" s="566" t="s">
        <v>569</v>
      </c>
      <c r="B37" s="25" t="s">
        <v>518</v>
      </c>
      <c r="C37" s="567"/>
      <c r="D37" s="567"/>
      <c r="E37" s="567"/>
      <c r="F37" s="567"/>
      <c r="G37" s="567"/>
      <c r="H37" s="567"/>
      <c r="I37" s="567"/>
      <c r="J37" s="567"/>
      <c r="K37" s="567"/>
      <c r="L37" s="567"/>
      <c r="M37" s="567">
        <f>SUM(L33:L36)</f>
        <v>123.422</v>
      </c>
      <c r="N37" s="567"/>
      <c r="O37" s="568">
        <f t="shared" si="0"/>
        <v>123.422</v>
      </c>
      <c r="Q37" s="362"/>
    </row>
    <row r="38" spans="1:17" ht="15" customHeight="1">
      <c r="A38" s="566" t="s">
        <v>570</v>
      </c>
      <c r="B38" s="25" t="s">
        <v>571</v>
      </c>
      <c r="C38" s="567">
        <f>SUM($F$33:$F$35)*'Farm &amp; Buffer Assumptions'!$B$49</f>
        <v>183.63299999999998</v>
      </c>
      <c r="D38" s="567">
        <f>SUM($F$33:$F$35)*'Farm &amp; Buffer Assumptions'!$B$49</f>
        <v>183.63299999999998</v>
      </c>
      <c r="E38" s="567">
        <f>SUM($F$33:$F$35)*'Farm &amp; Buffer Assumptions'!$B$49</f>
        <v>183.63299999999998</v>
      </c>
      <c r="F38" s="567">
        <f>SUM($F$33:$F$35)*'Farm &amp; Buffer Assumptions'!$B$49</f>
        <v>183.63299999999998</v>
      </c>
      <c r="G38" s="567">
        <f>SUM($F$33:$F$35)*'Farm &amp; Buffer Assumptions'!$B$49</f>
        <v>183.63299999999998</v>
      </c>
      <c r="H38" s="567">
        <f>SUM($F$33:$F$35)*'Farm &amp; Buffer Assumptions'!$B$49</f>
        <v>183.63299999999998</v>
      </c>
      <c r="I38" s="567">
        <f>SUM($F$33:$F$35)*'Farm &amp; Buffer Assumptions'!$B$49</f>
        <v>183.63299999999998</v>
      </c>
      <c r="J38" s="567">
        <f>SUM($F$33:$F$35)*'Farm &amp; Buffer Assumptions'!$B$49</f>
        <v>183.63299999999998</v>
      </c>
      <c r="K38" s="567">
        <f>SUM($F$33:$F$35)*'Farm &amp; Buffer Assumptions'!$B$49</f>
        <v>183.63299999999998</v>
      </c>
      <c r="L38" s="567">
        <f>SUM($F$33:$F$35)*'Farm &amp; Buffer Assumptions'!$B$49</f>
        <v>183.63299999999998</v>
      </c>
      <c r="M38" s="567">
        <f>SUM($F$33:$F$35)*'Farm &amp; Buffer Assumptions'!$B$49</f>
        <v>183.63299999999998</v>
      </c>
      <c r="N38" s="567">
        <f>SUM($F$33:$F$35)*'Farm &amp; Buffer Assumptions'!$B$49</f>
        <v>183.63299999999998</v>
      </c>
      <c r="O38" s="568">
        <f t="shared" si="0"/>
        <v>2203.596</v>
      </c>
      <c r="Q38" s="362">
        <f>62*1.5*12</f>
        <v>1116</v>
      </c>
    </row>
    <row r="39" spans="1:17" ht="15" customHeight="1">
      <c r="A39" s="566" t="s">
        <v>751</v>
      </c>
      <c r="B39" s="25" t="s">
        <v>23</v>
      </c>
      <c r="C39" s="567"/>
      <c r="D39" s="567"/>
      <c r="E39" s="567"/>
      <c r="F39" s="567"/>
      <c r="G39" s="567"/>
      <c r="H39" s="567"/>
      <c r="I39" s="567"/>
      <c r="J39" s="567"/>
      <c r="K39" s="567"/>
      <c r="L39" s="567"/>
      <c r="M39" s="567"/>
      <c r="N39" s="567"/>
      <c r="O39" s="568">
        <f t="shared" si="0"/>
        <v>0</v>
      </c>
      <c r="Q39" s="362"/>
    </row>
    <row r="40" spans="1:17" ht="15" customHeight="1">
      <c r="A40" s="129" t="s">
        <v>615</v>
      </c>
      <c r="B40" s="571"/>
      <c r="C40" s="509"/>
      <c r="D40" s="509"/>
      <c r="E40" s="509"/>
      <c r="F40" s="509"/>
      <c r="G40" s="509"/>
      <c r="H40" s="509"/>
      <c r="I40" s="509"/>
      <c r="J40" s="509"/>
      <c r="K40" s="509"/>
      <c r="L40" s="509"/>
      <c r="M40" s="509"/>
      <c r="N40" s="509"/>
      <c r="O40" s="568">
        <f t="shared" si="0"/>
        <v>0</v>
      </c>
      <c r="Q40" s="362"/>
    </row>
    <row r="41" spans="1:17" ht="15" customHeight="1">
      <c r="A41" s="572" t="s">
        <v>616</v>
      </c>
      <c r="B41" s="573"/>
      <c r="C41" s="574"/>
      <c r="D41" s="574"/>
      <c r="E41" s="574"/>
      <c r="F41" s="574"/>
      <c r="G41" s="574"/>
      <c r="H41" s="574"/>
      <c r="I41" s="574"/>
      <c r="J41" s="574"/>
      <c r="K41" s="574"/>
      <c r="L41" s="574"/>
      <c r="M41" s="574"/>
      <c r="N41" s="574"/>
      <c r="O41" s="575">
        <f t="shared" si="0"/>
        <v>0</v>
      </c>
      <c r="Q41" s="362"/>
    </row>
    <row r="43" ht="12.75">
      <c r="A43" t="s">
        <v>742</v>
      </c>
    </row>
    <row r="44" ht="12.75">
      <c r="A44" t="s">
        <v>572</v>
      </c>
    </row>
    <row r="45" ht="12.75">
      <c r="A45" t="s">
        <v>573</v>
      </c>
    </row>
  </sheetData>
  <dataValidations count="1">
    <dataValidation type="decimal" operator="greaterThanOrEqual" allowBlank="1" showInputMessage="1" showErrorMessage="1" sqref="B14:M19 C3:D8">
      <formula1>0</formula1>
    </dataValidation>
  </dataValidations>
  <printOptions/>
  <pageMargins left="0.5" right="0.5" top="1" bottom="1" header="0.5" footer="0.5"/>
  <pageSetup fitToHeight="2" orientation="landscape" scale="75" r:id="rId3"/>
  <rowBreaks count="1" manualBreakCount="1">
    <brk id="23" max="14" man="1"/>
  </rowBreaks>
  <ignoredErrors>
    <ignoredError sqref="C3" unlockedFormula="1"/>
  </ignoredErrors>
  <legacyDrawing r:id="rId2"/>
</worksheet>
</file>

<file path=xl/worksheets/sheet6.xml><?xml version="1.0" encoding="utf-8"?>
<worksheet xmlns="http://schemas.openxmlformats.org/spreadsheetml/2006/main" xmlns:r="http://schemas.openxmlformats.org/officeDocument/2006/relationships">
  <sheetPr codeName="Sheet11"/>
  <dimension ref="A1:O65"/>
  <sheetViews>
    <sheetView showGridLines="0" zoomScale="90" zoomScaleNormal="90" workbookViewId="0" topLeftCell="A1">
      <selection activeCell="A1" sqref="A1:F1"/>
    </sheetView>
  </sheetViews>
  <sheetFormatPr defaultColWidth="9.140625" defaultRowHeight="12.75"/>
  <cols>
    <col min="1" max="1" width="37.28125" style="1" customWidth="1"/>
    <col min="2" max="2" width="13.421875" style="14" customWidth="1"/>
    <col min="3" max="3" width="12.00390625" style="14" customWidth="1"/>
    <col min="4" max="4" width="14.140625" style="14" customWidth="1"/>
    <col min="5" max="7" width="10.7109375" style="1" customWidth="1"/>
    <col min="8" max="8" width="12.00390625" style="1" customWidth="1"/>
    <col min="9" max="9" width="12.421875" style="1" customWidth="1"/>
    <col min="10" max="10" width="15.8515625" style="339" customWidth="1"/>
    <col min="11" max="11" width="11.8515625" style="14" bestFit="1" customWidth="1"/>
    <col min="12" max="13" width="10.421875" style="14" bestFit="1" customWidth="1"/>
    <col min="14" max="14" width="16.421875" style="1" customWidth="1"/>
    <col min="15" max="15" width="15.28125" style="0" customWidth="1"/>
    <col min="16" max="16384" width="9.140625" style="211" customWidth="1"/>
  </cols>
  <sheetData>
    <row r="1" spans="1:6" ht="44.25" customHeight="1">
      <c r="A1" s="742" t="s">
        <v>463</v>
      </c>
      <c r="B1" s="743"/>
      <c r="C1" s="744"/>
      <c r="D1" s="744"/>
      <c r="E1" s="744"/>
      <c r="F1" s="744"/>
    </row>
    <row r="2" spans="2:14" ht="62.25" customHeight="1" thickBot="1">
      <c r="B2" s="1"/>
      <c r="C2" s="576">
        <f>'Farm &amp; Buffer Assumptions'!C3</f>
        <v>100</v>
      </c>
      <c r="D2" s="577" t="s">
        <v>462</v>
      </c>
      <c r="E2" s="578"/>
      <c r="F2" s="336" t="s">
        <v>539</v>
      </c>
      <c r="G2" s="37"/>
      <c r="H2" s="37"/>
      <c r="I2" s="37"/>
      <c r="J2" s="337"/>
      <c r="K2" s="382" t="s">
        <v>595</v>
      </c>
      <c r="L2" s="37"/>
      <c r="M2" s="383"/>
      <c r="N2" s="37"/>
    </row>
    <row r="3" spans="6:13" ht="13.5" thickBot="1">
      <c r="F3" s="14"/>
      <c r="G3" s="14"/>
      <c r="H3" s="14"/>
      <c r="I3" s="14"/>
      <c r="J3" s="337"/>
      <c r="K3" s="1"/>
      <c r="L3" s="1"/>
      <c r="M3" s="1"/>
    </row>
    <row r="4" spans="1:15" s="736" customFormat="1" ht="61.5" customHeight="1" thickBot="1">
      <c r="A4" s="82" t="s">
        <v>17</v>
      </c>
      <c r="B4" s="83" t="s">
        <v>104</v>
      </c>
      <c r="C4" s="83" t="s">
        <v>19</v>
      </c>
      <c r="D4" s="83" t="s">
        <v>481</v>
      </c>
      <c r="E4" s="82" t="s">
        <v>20</v>
      </c>
      <c r="F4" s="354" t="s">
        <v>533</v>
      </c>
      <c r="G4" s="354" t="s">
        <v>534</v>
      </c>
      <c r="H4" s="354" t="s">
        <v>536</v>
      </c>
      <c r="I4" s="354" t="s">
        <v>483</v>
      </c>
      <c r="J4" s="579" t="s">
        <v>535</v>
      </c>
      <c r="K4" s="354" t="s">
        <v>533</v>
      </c>
      <c r="L4" s="354" t="s">
        <v>534</v>
      </c>
      <c r="M4" s="354" t="s">
        <v>536</v>
      </c>
      <c r="N4" s="354" t="s">
        <v>483</v>
      </c>
      <c r="O4" s="735" t="s">
        <v>610</v>
      </c>
    </row>
    <row r="5" spans="1:14" ht="27" customHeight="1">
      <c r="A5" s="582" t="s">
        <v>464</v>
      </c>
      <c r="B5" s="344"/>
      <c r="C5" s="344"/>
      <c r="D5" s="344"/>
      <c r="E5" s="345"/>
      <c r="F5" s="344"/>
      <c r="G5" s="344"/>
      <c r="H5" s="344"/>
      <c r="I5" s="344"/>
      <c r="J5" s="346"/>
      <c r="K5" s="345"/>
      <c r="L5" s="345"/>
      <c r="M5" s="345"/>
      <c r="N5" s="345"/>
    </row>
    <row r="6" spans="1:14" ht="18" customHeight="1">
      <c r="A6" s="27" t="s">
        <v>465</v>
      </c>
      <c r="B6" s="341">
        <v>20000</v>
      </c>
      <c r="C6" s="28">
        <f>(B6+D6)/2</f>
        <v>10000</v>
      </c>
      <c r="D6" s="341">
        <v>0</v>
      </c>
      <c r="E6" s="342">
        <v>25</v>
      </c>
      <c r="F6" s="28">
        <f>C6*'Farm &amp; Buffer Assumptions'!$C$69</f>
        <v>500</v>
      </c>
      <c r="G6" s="28">
        <f>C6*'Farm &amp; Buffer Assumptions'!$C$71</f>
        <v>80</v>
      </c>
      <c r="H6" s="28">
        <v>0</v>
      </c>
      <c r="I6" s="28">
        <f>((B6-D6)*'Farm &amp; Buffer Assumptions'!$C$69/(1-(1+'Farm &amp; Buffer Assumptions'!$C$69)^-E6))+D6*'Farm &amp; Buffer Assumptions'!$C$69</f>
        <v>1419.0491459845923</v>
      </c>
      <c r="J6" s="338">
        <v>1</v>
      </c>
      <c r="K6" s="28">
        <f>$J6*F6</f>
        <v>500</v>
      </c>
      <c r="L6" s="28">
        <f aca="true" t="shared" si="0" ref="L6:N19">$J6*G6</f>
        <v>80</v>
      </c>
      <c r="M6" s="28">
        <f t="shared" si="0"/>
        <v>0</v>
      </c>
      <c r="N6" s="28">
        <f t="shared" si="0"/>
        <v>1419.0491459845923</v>
      </c>
    </row>
    <row r="7" spans="1:14" ht="18" customHeight="1">
      <c r="A7" s="580" t="s">
        <v>466</v>
      </c>
      <c r="B7" s="341">
        <v>5000</v>
      </c>
      <c r="C7" s="28">
        <f aca="true" t="shared" si="1" ref="C7:C19">(B7+D7)/2</f>
        <v>2750</v>
      </c>
      <c r="D7" s="341">
        <f>0.1*B7</f>
        <v>500</v>
      </c>
      <c r="E7" s="342">
        <v>30</v>
      </c>
      <c r="F7" s="28">
        <f>C7*'Farm &amp; Buffer Assumptions'!$C$69</f>
        <v>137.5</v>
      </c>
      <c r="G7" s="28">
        <f>C7*'Farm &amp; Buffer Assumptions'!$C$71</f>
        <v>22</v>
      </c>
      <c r="H7" s="28">
        <v>0</v>
      </c>
      <c r="I7" s="28">
        <f>((B7-D7)*'Farm &amp; Buffer Assumptions'!$C$69/(1-(1+'Farm &amp; Buffer Assumptions'!$C$69)^-E7))+D7*'Farm &amp; Buffer Assumptions'!$C$69</f>
        <v>317.7314578612446</v>
      </c>
      <c r="J7" s="338">
        <v>1</v>
      </c>
      <c r="K7" s="28">
        <f aca="true" t="shared" si="2" ref="K7:K19">$J7*F7</f>
        <v>137.5</v>
      </c>
      <c r="L7" s="28">
        <f t="shared" si="0"/>
        <v>22</v>
      </c>
      <c r="M7" s="28">
        <f t="shared" si="0"/>
        <v>0</v>
      </c>
      <c r="N7" s="28">
        <f t="shared" si="0"/>
        <v>317.7314578612446</v>
      </c>
    </row>
    <row r="8" spans="1:14" ht="18" customHeight="1">
      <c r="A8" s="27" t="s">
        <v>467</v>
      </c>
      <c r="B8" s="341">
        <v>12000</v>
      </c>
      <c r="C8" s="28">
        <f t="shared" si="1"/>
        <v>6600</v>
      </c>
      <c r="D8" s="341">
        <f>0.1*B8</f>
        <v>1200</v>
      </c>
      <c r="E8" s="342">
        <v>30</v>
      </c>
      <c r="F8" s="28">
        <f>C8*'Farm &amp; Buffer Assumptions'!$C$69</f>
        <v>330</v>
      </c>
      <c r="G8" s="28">
        <f>C8*'Farm &amp; Buffer Assumptions'!$C$71</f>
        <v>52.800000000000004</v>
      </c>
      <c r="H8" s="28">
        <v>0</v>
      </c>
      <c r="I8" s="28">
        <f>((B8-D8)*'Farm &amp; Buffer Assumptions'!$C$69/(1-(1+'Farm &amp; Buffer Assumptions'!$C$69)^-E8))+D8*'Farm &amp; Buffer Assumptions'!$C$69</f>
        <v>762.5554988669871</v>
      </c>
      <c r="J8" s="338">
        <v>0.8</v>
      </c>
      <c r="K8" s="28">
        <f t="shared" si="2"/>
        <v>264</v>
      </c>
      <c r="L8" s="28">
        <f t="shared" si="0"/>
        <v>42.24000000000001</v>
      </c>
      <c r="M8" s="28">
        <f t="shared" si="0"/>
        <v>0</v>
      </c>
      <c r="N8" s="28">
        <f t="shared" si="0"/>
        <v>610.0443990935897</v>
      </c>
    </row>
    <row r="9" spans="1:14" ht="18" customHeight="1">
      <c r="A9" s="27" t="s">
        <v>468</v>
      </c>
      <c r="B9" s="341">
        <v>14200</v>
      </c>
      <c r="C9" s="28">
        <f t="shared" si="1"/>
        <v>7810</v>
      </c>
      <c r="D9" s="341">
        <f>0.1*B9</f>
        <v>1420</v>
      </c>
      <c r="E9" s="342">
        <v>40</v>
      </c>
      <c r="F9" s="28">
        <f>C9*'Farm &amp; Buffer Assumptions'!$C$69</f>
        <v>390.5</v>
      </c>
      <c r="G9" s="28">
        <f>C9*'Farm &amp; Buffer Assumptions'!$C$71</f>
        <v>62.480000000000004</v>
      </c>
      <c r="H9" s="28">
        <v>0</v>
      </c>
      <c r="I9" s="28">
        <f>((B9-D9)*'Farm &amp; Buffer Assumptions'!$C$69/(1-(1+'Farm &amp; Buffer Assumptions'!$C$69)^-E9))+D9*'Farm &amp; Buffer Assumptions'!$C$69</f>
        <v>815.7948997019272</v>
      </c>
      <c r="J9" s="338">
        <v>0.8</v>
      </c>
      <c r="K9" s="28">
        <f t="shared" si="2"/>
        <v>312.40000000000003</v>
      </c>
      <c r="L9" s="28">
        <f t="shared" si="0"/>
        <v>49.98400000000001</v>
      </c>
      <c r="M9" s="28">
        <f t="shared" si="0"/>
        <v>0</v>
      </c>
      <c r="N9" s="28">
        <f t="shared" si="0"/>
        <v>652.6359197615418</v>
      </c>
    </row>
    <row r="10" spans="1:14" ht="18" customHeight="1">
      <c r="A10" s="27" t="s">
        <v>469</v>
      </c>
      <c r="B10" s="341">
        <v>5000</v>
      </c>
      <c r="C10" s="28">
        <f t="shared" si="1"/>
        <v>2750</v>
      </c>
      <c r="D10" s="341">
        <f>0.1*B10</f>
        <v>500</v>
      </c>
      <c r="E10" s="342">
        <v>30</v>
      </c>
      <c r="F10" s="28">
        <f>C10*'Farm &amp; Buffer Assumptions'!$C$69</f>
        <v>137.5</v>
      </c>
      <c r="G10" s="28">
        <f>C10*'Farm &amp; Buffer Assumptions'!$C$71</f>
        <v>22</v>
      </c>
      <c r="H10" s="28">
        <v>0</v>
      </c>
      <c r="I10" s="28">
        <f>((B10-D10)*'Farm &amp; Buffer Assumptions'!$C$69/(1-(1+'Farm &amp; Buffer Assumptions'!$C$69)^-E10))+D10*'Farm &amp; Buffer Assumptions'!$C$69</f>
        <v>317.7314578612446</v>
      </c>
      <c r="J10" s="338">
        <v>0.8</v>
      </c>
      <c r="K10" s="28">
        <f t="shared" si="2"/>
        <v>110</v>
      </c>
      <c r="L10" s="28">
        <f t="shared" si="0"/>
        <v>17.6</v>
      </c>
      <c r="M10" s="28">
        <f t="shared" si="0"/>
        <v>0</v>
      </c>
      <c r="N10" s="28">
        <f t="shared" si="0"/>
        <v>254.1851662889957</v>
      </c>
    </row>
    <row r="11" spans="1:14" ht="18" customHeight="1">
      <c r="A11" s="27" t="s">
        <v>520</v>
      </c>
      <c r="B11" s="341">
        <v>4000</v>
      </c>
      <c r="C11" s="28">
        <f t="shared" si="1"/>
        <v>2000</v>
      </c>
      <c r="D11" s="341">
        <v>0</v>
      </c>
      <c r="E11" s="342">
        <v>25</v>
      </c>
      <c r="F11" s="28">
        <f>C11*'Farm &amp; Buffer Assumptions'!$C$69</f>
        <v>100</v>
      </c>
      <c r="G11" s="28">
        <f>C11*'Farm &amp; Buffer Assumptions'!$C$71</f>
        <v>16</v>
      </c>
      <c r="H11" s="28">
        <v>0</v>
      </c>
      <c r="I11" s="28">
        <f>((B11-D11)*'Farm &amp; Buffer Assumptions'!$C$69/(1-(1+'Farm &amp; Buffer Assumptions'!$C$69)^-E11))+D11*'Farm &amp; Buffer Assumptions'!$C$69</f>
        <v>283.8098291969185</v>
      </c>
      <c r="J11" s="338">
        <v>0.3</v>
      </c>
      <c r="K11" s="28">
        <f t="shared" si="2"/>
        <v>30</v>
      </c>
      <c r="L11" s="28">
        <f t="shared" si="0"/>
        <v>4.8</v>
      </c>
      <c r="M11" s="28">
        <f t="shared" si="0"/>
        <v>0</v>
      </c>
      <c r="N11" s="28">
        <f t="shared" si="0"/>
        <v>85.14294875907554</v>
      </c>
    </row>
    <row r="12" spans="1:14" ht="18" customHeight="1">
      <c r="A12" s="27" t="s">
        <v>537</v>
      </c>
      <c r="B12" s="341">
        <v>750</v>
      </c>
      <c r="C12" s="28">
        <f t="shared" si="1"/>
        <v>412.5</v>
      </c>
      <c r="D12" s="341">
        <f aca="true" t="shared" si="3" ref="D12:D19">0.1*B12</f>
        <v>75</v>
      </c>
      <c r="E12" s="342">
        <v>10</v>
      </c>
      <c r="F12" s="28">
        <f>C12*'Farm &amp; Buffer Assumptions'!$C$69</f>
        <v>20.625</v>
      </c>
      <c r="G12" s="28">
        <f>C12*'Farm &amp; Buffer Assumptions'!$C$71</f>
        <v>3.3000000000000003</v>
      </c>
      <c r="H12" s="28">
        <v>0</v>
      </c>
      <c r="I12" s="28">
        <f>((B12-D12)*'Farm &amp; Buffer Assumptions'!$C$69/(1-(1+'Farm &amp; Buffer Assumptions'!$C$69)^-E12))+D12*'Farm &amp; Buffer Assumptions'!$C$69</f>
        <v>91.16558810168326</v>
      </c>
      <c r="J12" s="338">
        <v>1</v>
      </c>
      <c r="K12" s="28">
        <f t="shared" si="2"/>
        <v>20.625</v>
      </c>
      <c r="L12" s="28">
        <f t="shared" si="0"/>
        <v>3.3000000000000003</v>
      </c>
      <c r="M12" s="28">
        <f t="shared" si="0"/>
        <v>0</v>
      </c>
      <c r="N12" s="28">
        <f t="shared" si="0"/>
        <v>91.16558810168326</v>
      </c>
    </row>
    <row r="13" spans="1:14" ht="18" customHeight="1">
      <c r="A13" s="27" t="s">
        <v>470</v>
      </c>
      <c r="B13" s="341">
        <v>1500</v>
      </c>
      <c r="C13" s="28">
        <f t="shared" si="1"/>
        <v>825</v>
      </c>
      <c r="D13" s="341">
        <f t="shared" si="3"/>
        <v>150</v>
      </c>
      <c r="E13" s="342">
        <v>10</v>
      </c>
      <c r="F13" s="28">
        <f>C13*'Farm &amp; Buffer Assumptions'!$C$69</f>
        <v>41.25</v>
      </c>
      <c r="G13" s="28">
        <f>C13*'Farm &amp; Buffer Assumptions'!$C$71</f>
        <v>6.6000000000000005</v>
      </c>
      <c r="H13" s="28">
        <v>0</v>
      </c>
      <c r="I13" s="28">
        <f>((B13-D13)*'Farm &amp; Buffer Assumptions'!$C$69/(1-(1+'Farm &amp; Buffer Assumptions'!$C$69)^-E13))+D13*'Farm &amp; Buffer Assumptions'!$C$69</f>
        <v>182.3311762033665</v>
      </c>
      <c r="J13" s="338">
        <v>1</v>
      </c>
      <c r="K13" s="28">
        <f t="shared" si="2"/>
        <v>41.25</v>
      </c>
      <c r="L13" s="28">
        <f t="shared" si="0"/>
        <v>6.6000000000000005</v>
      </c>
      <c r="M13" s="28">
        <f t="shared" si="0"/>
        <v>0</v>
      </c>
      <c r="N13" s="28">
        <f t="shared" si="0"/>
        <v>182.3311762033665</v>
      </c>
    </row>
    <row r="14" spans="1:14" ht="18" customHeight="1">
      <c r="A14" s="27" t="s">
        <v>538</v>
      </c>
      <c r="B14" s="341">
        <v>560</v>
      </c>
      <c r="C14" s="28">
        <f t="shared" si="1"/>
        <v>280</v>
      </c>
      <c r="D14" s="341">
        <v>0</v>
      </c>
      <c r="E14" s="342">
        <v>15</v>
      </c>
      <c r="F14" s="28">
        <f>C14*'Farm &amp; Buffer Assumptions'!$C$69</f>
        <v>14</v>
      </c>
      <c r="G14" s="28">
        <f>C14*'Farm &amp; Buffer Assumptions'!$C$71</f>
        <v>2.24</v>
      </c>
      <c r="H14" s="28">
        <v>0</v>
      </c>
      <c r="I14" s="28">
        <f>((B14-D14)*'Farm &amp; Buffer Assumptions'!$C$69/(1-(1+'Farm &amp; Buffer Assumptions'!$C$69)^-E14))+D14*'Farm &amp; Buffer Assumptions'!$C$69</f>
        <v>53.95168106117684</v>
      </c>
      <c r="J14" s="338">
        <v>1</v>
      </c>
      <c r="K14" s="28">
        <f t="shared" si="2"/>
        <v>14</v>
      </c>
      <c r="L14" s="28">
        <f t="shared" si="0"/>
        <v>2.24</v>
      </c>
      <c r="M14" s="28">
        <f t="shared" si="0"/>
        <v>0</v>
      </c>
      <c r="N14" s="28">
        <f t="shared" si="0"/>
        <v>53.95168106117684</v>
      </c>
    </row>
    <row r="15" spans="1:14" ht="18" customHeight="1">
      <c r="A15" s="27" t="s">
        <v>471</v>
      </c>
      <c r="B15" s="341">
        <v>2000</v>
      </c>
      <c r="C15" s="28">
        <f t="shared" si="1"/>
        <v>1100</v>
      </c>
      <c r="D15" s="341">
        <f t="shared" si="3"/>
        <v>200</v>
      </c>
      <c r="E15" s="342">
        <v>20</v>
      </c>
      <c r="F15" s="28">
        <f>C15*'Farm &amp; Buffer Assumptions'!$C$69</f>
        <v>55</v>
      </c>
      <c r="G15" s="28">
        <f>C15*'Farm &amp; Buffer Assumptions'!$C$71</f>
        <v>8.8</v>
      </c>
      <c r="H15" s="28">
        <f>C15*0.019</f>
        <v>20.9</v>
      </c>
      <c r="I15" s="28">
        <f>((B15-D15)*'Farm &amp; Buffer Assumptions'!$C$69/(1-(1+'Farm &amp; Buffer Assumptions'!$C$69)^-E15))+D15*'Farm &amp; Buffer Assumptions'!$C$69</f>
        <v>154.43665694324437</v>
      </c>
      <c r="J15" s="338">
        <v>1</v>
      </c>
      <c r="K15" s="28">
        <f t="shared" si="2"/>
        <v>55</v>
      </c>
      <c r="L15" s="28">
        <f t="shared" si="0"/>
        <v>8.8</v>
      </c>
      <c r="M15" s="28">
        <f t="shared" si="0"/>
        <v>20.9</v>
      </c>
      <c r="N15" s="28">
        <f t="shared" si="0"/>
        <v>154.43665694324437</v>
      </c>
    </row>
    <row r="16" spans="1:14" ht="18" customHeight="1">
      <c r="A16" s="27" t="s">
        <v>472</v>
      </c>
      <c r="B16" s="341">
        <v>4200</v>
      </c>
      <c r="C16" s="28">
        <f t="shared" si="1"/>
        <v>2310</v>
      </c>
      <c r="D16" s="341">
        <f t="shared" si="3"/>
        <v>420</v>
      </c>
      <c r="E16" s="342">
        <v>20</v>
      </c>
      <c r="F16" s="28">
        <f>C16*'Farm &amp; Buffer Assumptions'!$C$69</f>
        <v>115.5</v>
      </c>
      <c r="G16" s="28">
        <f>C16*'Farm &amp; Buffer Assumptions'!$C$71</f>
        <v>18.48</v>
      </c>
      <c r="H16" s="28">
        <f>C16*0.02</f>
        <v>46.2</v>
      </c>
      <c r="I16" s="28">
        <f>((B16-D16)*'Farm &amp; Buffer Assumptions'!$C$69/(1-(1+'Farm &amp; Buffer Assumptions'!$C$69)^-E16))+D16*'Farm &amp; Buffer Assumptions'!$C$69</f>
        <v>324.31697958081315</v>
      </c>
      <c r="J16" s="338">
        <v>1</v>
      </c>
      <c r="K16" s="28">
        <f t="shared" si="2"/>
        <v>115.5</v>
      </c>
      <c r="L16" s="28">
        <f t="shared" si="0"/>
        <v>18.48</v>
      </c>
      <c r="M16" s="28">
        <f t="shared" si="0"/>
        <v>46.2</v>
      </c>
      <c r="N16" s="28">
        <f t="shared" si="0"/>
        <v>324.31697958081315</v>
      </c>
    </row>
    <row r="17" spans="1:14" ht="18" customHeight="1">
      <c r="A17" s="27" t="s">
        <v>748</v>
      </c>
      <c r="B17" s="341"/>
      <c r="C17" s="28"/>
      <c r="D17" s="341"/>
      <c r="E17" s="342"/>
      <c r="F17" s="28"/>
      <c r="G17" s="28"/>
      <c r="H17" s="28"/>
      <c r="I17" s="28"/>
      <c r="J17" s="338"/>
      <c r="K17" s="28"/>
      <c r="L17" s="28"/>
      <c r="M17" s="28"/>
      <c r="N17" s="28"/>
    </row>
    <row r="18" spans="1:14" ht="18" customHeight="1">
      <c r="A18" s="27" t="s">
        <v>151</v>
      </c>
      <c r="B18" s="341">
        <v>0</v>
      </c>
      <c r="C18" s="28">
        <f t="shared" si="1"/>
        <v>0</v>
      </c>
      <c r="D18" s="341">
        <f t="shared" si="3"/>
        <v>0</v>
      </c>
      <c r="E18" s="342">
        <v>1</v>
      </c>
      <c r="F18" s="28">
        <f>C18*'Farm &amp; Buffer Assumptions'!$C$69</f>
        <v>0</v>
      </c>
      <c r="G18" s="28">
        <f>C18*'Farm &amp; Buffer Assumptions'!$C$71</f>
        <v>0</v>
      </c>
      <c r="H18" s="28"/>
      <c r="I18" s="28">
        <f>((B18-D18)*'Farm &amp; Buffer Assumptions'!$C$69/(1-(1+'Farm &amp; Buffer Assumptions'!$C$69)^-E18))+D18*'Farm &amp; Buffer Assumptions'!$C$69</f>
        <v>0</v>
      </c>
      <c r="J18" s="338">
        <v>0</v>
      </c>
      <c r="K18" s="28">
        <f t="shared" si="2"/>
        <v>0</v>
      </c>
      <c r="L18" s="28">
        <f t="shared" si="0"/>
        <v>0</v>
      </c>
      <c r="M18" s="28">
        <f t="shared" si="0"/>
        <v>0</v>
      </c>
      <c r="N18" s="28">
        <f t="shared" si="0"/>
        <v>0</v>
      </c>
    </row>
    <row r="19" spans="1:14" ht="18" customHeight="1">
      <c r="A19" s="30" t="s">
        <v>151</v>
      </c>
      <c r="B19" s="605">
        <v>0</v>
      </c>
      <c r="C19" s="31">
        <f t="shared" si="1"/>
        <v>0</v>
      </c>
      <c r="D19" s="605">
        <f t="shared" si="3"/>
        <v>0</v>
      </c>
      <c r="E19" s="606">
        <v>1</v>
      </c>
      <c r="F19" s="31">
        <f>C19*'Farm &amp; Buffer Assumptions'!$C$69</f>
        <v>0</v>
      </c>
      <c r="G19" s="31">
        <f>C19*'Farm &amp; Buffer Assumptions'!$C$71</f>
        <v>0</v>
      </c>
      <c r="H19" s="31"/>
      <c r="I19" s="31">
        <f>((B19-D19)*'Farm &amp; Buffer Assumptions'!$C$69/(1-(1+'Farm &amp; Buffer Assumptions'!$C$69)^-E19))+D19*'Farm &amp; Buffer Assumptions'!$C$69</f>
        <v>0</v>
      </c>
      <c r="J19" s="607">
        <v>0</v>
      </c>
      <c r="K19" s="31">
        <f t="shared" si="2"/>
        <v>0</v>
      </c>
      <c r="L19" s="31">
        <f t="shared" si="0"/>
        <v>0</v>
      </c>
      <c r="M19" s="31">
        <f t="shared" si="0"/>
        <v>0</v>
      </c>
      <c r="N19" s="31">
        <f t="shared" si="0"/>
        <v>0</v>
      </c>
    </row>
    <row r="20" spans="1:15" s="209" customFormat="1" ht="24" customHeight="1">
      <c r="A20" s="608" t="s">
        <v>51</v>
      </c>
      <c r="B20" s="609">
        <f>SUM(B6:B19)</f>
        <v>69210</v>
      </c>
      <c r="C20" s="609">
        <f>SUM(C6:C19)</f>
        <v>36837.5</v>
      </c>
      <c r="D20" s="609">
        <f>SUM(D6:D19)</f>
        <v>4465</v>
      </c>
      <c r="E20" s="608"/>
      <c r="F20" s="609">
        <f>SUM(F6:F19)</f>
        <v>1841.875</v>
      </c>
      <c r="G20" s="609">
        <f>SUM(G6:G19)</f>
        <v>294.7000000000001</v>
      </c>
      <c r="H20" s="609">
        <f>SUM(H6:H19)</f>
        <v>67.1</v>
      </c>
      <c r="I20" s="609">
        <f>SUM(I6:I19)</f>
        <v>4722.874371363198</v>
      </c>
      <c r="J20" s="610"/>
      <c r="K20" s="609">
        <f>SUM(K5:K19)</f>
        <v>1600.275</v>
      </c>
      <c r="L20" s="609">
        <f>G21*J20</f>
        <v>0</v>
      </c>
      <c r="M20" s="609">
        <f>SUM(H21:I21)*J20</f>
        <v>0</v>
      </c>
      <c r="N20" s="609">
        <f>SUM(N5:N19)</f>
        <v>4144.991119639324</v>
      </c>
      <c r="O20" s="272">
        <f>N20/50</f>
        <v>82.89982239278648</v>
      </c>
    </row>
    <row r="21" spans="1:15" ht="18" customHeight="1">
      <c r="A21" s="620"/>
      <c r="B21" s="36"/>
      <c r="C21" s="36"/>
      <c r="D21" s="36"/>
      <c r="E21" s="9"/>
      <c r="F21" s="36"/>
      <c r="G21" s="36"/>
      <c r="H21" s="36"/>
      <c r="I21" s="36"/>
      <c r="J21" s="340"/>
      <c r="K21" s="9"/>
      <c r="L21" s="9"/>
      <c r="M21" s="9"/>
      <c r="N21" s="9"/>
      <c r="O21" s="406"/>
    </row>
    <row r="22" spans="1:15" ht="18" customHeight="1">
      <c r="A22" s="604" t="s">
        <v>473</v>
      </c>
      <c r="B22" s="347"/>
      <c r="C22" s="347"/>
      <c r="D22" s="347"/>
      <c r="E22" s="348"/>
      <c r="F22" s="347"/>
      <c r="G22" s="347"/>
      <c r="H22" s="347"/>
      <c r="I22" s="347"/>
      <c r="J22" s="349"/>
      <c r="K22" s="348"/>
      <c r="L22" s="348"/>
      <c r="M22" s="348"/>
      <c r="N22" s="348"/>
      <c r="O22" s="272"/>
    </row>
    <row r="23" spans="1:15" ht="18" customHeight="1">
      <c r="A23" s="129" t="s">
        <v>474</v>
      </c>
      <c r="B23" s="341">
        <f>'Farm &amp; Buffer Assumptions'!C12*Prices!C19</f>
        <v>6300</v>
      </c>
      <c r="C23" s="343">
        <f>(B23+D23)/2</f>
        <v>3942</v>
      </c>
      <c r="D23" s="341">
        <f>'Farm &amp; Buffer Assumptions'!C12*Prices!C16*(1100/100)</f>
        <v>1584</v>
      </c>
      <c r="E23" s="342">
        <v>4</v>
      </c>
      <c r="F23" s="28"/>
      <c r="G23" s="28"/>
      <c r="H23" s="28"/>
      <c r="I23" s="28">
        <f>((B23-D23)*'Farm &amp; Buffer Assumptions'!$C$69/(1-(1+'Farm &amp; Buffer Assumptions'!$C$69)^-E23))+D23*'Farm &amp; Buffer Assumptions'!$C$69</f>
        <v>1409.1678025579304</v>
      </c>
      <c r="J23" s="338">
        <v>1</v>
      </c>
      <c r="K23" s="28">
        <f>$J23*F23</f>
        <v>0</v>
      </c>
      <c r="L23" s="28">
        <f aca="true" t="shared" si="4" ref="L23:N26">$J23*G23</f>
        <v>0</v>
      </c>
      <c r="M23" s="384" t="s">
        <v>141</v>
      </c>
      <c r="N23" s="28">
        <f t="shared" si="4"/>
        <v>1409.1678025579304</v>
      </c>
      <c r="O23" s="272"/>
    </row>
    <row r="24" spans="1:15" ht="18" customHeight="1">
      <c r="A24" s="129" t="s">
        <v>475</v>
      </c>
      <c r="B24" s="341">
        <f>'Farm &amp; Buffer Assumptions'!C14*Prices!C20</f>
        <v>2250</v>
      </c>
      <c r="C24" s="343">
        <f>(B24+D24)/2</f>
        <v>1425</v>
      </c>
      <c r="D24" s="341">
        <f>'Farm &amp; Buffer Assumptions'!C14*600</f>
        <v>600</v>
      </c>
      <c r="E24" s="342">
        <v>10</v>
      </c>
      <c r="F24" s="28"/>
      <c r="G24" s="28"/>
      <c r="H24" s="28"/>
      <c r="I24" s="28">
        <f>((B24-D24)*'Farm &amp; Buffer Assumptions'!$C$69/(1-(1+'Farm &amp; Buffer Assumptions'!$C$69)^-E24))+D24*'Farm &amp; Buffer Assumptions'!$C$69</f>
        <v>243.68254869300353</v>
      </c>
      <c r="J24" s="338">
        <v>1</v>
      </c>
      <c r="K24" s="28">
        <f>$J24*F24</f>
        <v>0</v>
      </c>
      <c r="L24" s="28">
        <f t="shared" si="4"/>
        <v>0</v>
      </c>
      <c r="M24" s="384" t="s">
        <v>141</v>
      </c>
      <c r="N24" s="28">
        <f t="shared" si="4"/>
        <v>243.68254869300353</v>
      </c>
      <c r="O24" s="272"/>
    </row>
    <row r="25" spans="1:15" ht="18" customHeight="1">
      <c r="A25" s="129" t="s">
        <v>151</v>
      </c>
      <c r="B25" s="341"/>
      <c r="C25" s="343"/>
      <c r="D25" s="341"/>
      <c r="E25" s="342"/>
      <c r="F25" s="28"/>
      <c r="G25" s="28"/>
      <c r="H25" s="28"/>
      <c r="I25" s="28"/>
      <c r="J25" s="338">
        <v>0</v>
      </c>
      <c r="K25" s="28">
        <f>$J25*F25</f>
        <v>0</v>
      </c>
      <c r="L25" s="28">
        <f t="shared" si="4"/>
        <v>0</v>
      </c>
      <c r="M25" s="384" t="s">
        <v>141</v>
      </c>
      <c r="N25" s="28">
        <f t="shared" si="4"/>
        <v>0</v>
      </c>
      <c r="O25" s="272"/>
    </row>
    <row r="26" spans="1:15" ht="18" customHeight="1">
      <c r="A26" s="572" t="s">
        <v>151</v>
      </c>
      <c r="B26" s="583"/>
      <c r="C26" s="587"/>
      <c r="D26" s="583"/>
      <c r="E26" s="585"/>
      <c r="F26" s="584"/>
      <c r="G26" s="584"/>
      <c r="H26" s="584"/>
      <c r="I26" s="584"/>
      <c r="J26" s="586">
        <v>0</v>
      </c>
      <c r="K26" s="584">
        <f>$J26*F26</f>
        <v>0</v>
      </c>
      <c r="L26" s="584">
        <f t="shared" si="4"/>
        <v>0</v>
      </c>
      <c r="M26" s="588" t="s">
        <v>141</v>
      </c>
      <c r="N26" s="584">
        <f t="shared" si="4"/>
        <v>0</v>
      </c>
      <c r="O26" s="272"/>
    </row>
    <row r="27" spans="1:15" ht="24" customHeight="1">
      <c r="A27" s="608" t="s">
        <v>51</v>
      </c>
      <c r="B27" s="609">
        <f>SUM(B23:B26)</f>
        <v>8550</v>
      </c>
      <c r="C27" s="609">
        <f>SUM(C23:C26)</f>
        <v>5367</v>
      </c>
      <c r="D27" s="609">
        <f>SUM(D23:D26)</f>
        <v>2184</v>
      </c>
      <c r="E27" s="611"/>
      <c r="F27" s="609">
        <f>SUM(F23:F26)</f>
        <v>0</v>
      </c>
      <c r="G27" s="609">
        <f>SUM(G23:G26)</f>
        <v>0</v>
      </c>
      <c r="H27" s="609"/>
      <c r="I27" s="609">
        <f>SUM(I23:I26)</f>
        <v>1652.850351250934</v>
      </c>
      <c r="J27" s="610"/>
      <c r="K27" s="609">
        <f>SUM(K23:K26)</f>
        <v>0</v>
      </c>
      <c r="L27" s="609">
        <f>SUM(L23:L26)</f>
        <v>0</v>
      </c>
      <c r="M27" s="609"/>
      <c r="N27" s="609">
        <f>SUM(N23:N26)</f>
        <v>1652.850351250934</v>
      </c>
      <c r="O27" s="272">
        <f>N27/50</f>
        <v>33.05700702501868</v>
      </c>
    </row>
    <row r="28" spans="1:15" s="29" customFormat="1" ht="18" customHeight="1">
      <c r="A28"/>
      <c r="B28"/>
      <c r="C28"/>
      <c r="D28"/>
      <c r="E28"/>
      <c r="F28"/>
      <c r="G28"/>
      <c r="H28"/>
      <c r="I28"/>
      <c r="J28"/>
      <c r="K28"/>
      <c r="L28"/>
      <c r="M28"/>
      <c r="N28"/>
      <c r="O28" s="272"/>
    </row>
    <row r="29" spans="1:15" ht="18" customHeight="1">
      <c r="A29" s="604" t="s">
        <v>476</v>
      </c>
      <c r="B29" s="347"/>
      <c r="C29" s="347"/>
      <c r="D29" s="347"/>
      <c r="E29" s="348"/>
      <c r="F29" s="347"/>
      <c r="G29" s="347"/>
      <c r="H29" s="347"/>
      <c r="I29" s="347"/>
      <c r="J29" s="349"/>
      <c r="K29" s="347"/>
      <c r="L29" s="347"/>
      <c r="M29" s="347"/>
      <c r="N29" s="347"/>
      <c r="O29" s="272"/>
    </row>
    <row r="30" spans="1:15" ht="18" customHeight="1">
      <c r="A30" s="129" t="s">
        <v>477</v>
      </c>
      <c r="B30" s="341">
        <f>600*C2</f>
        <v>60000</v>
      </c>
      <c r="C30" s="28">
        <f>(B30+D30)/2</f>
        <v>53650</v>
      </c>
      <c r="D30" s="341">
        <f>'Farm &amp; Buffer Assumptions'!C55*Prices!C17*C2</f>
        <v>47300</v>
      </c>
      <c r="E30" s="342">
        <v>5</v>
      </c>
      <c r="F30" s="28"/>
      <c r="G30" s="28"/>
      <c r="H30" s="28"/>
      <c r="I30" s="28">
        <f>(C30*'Farm &amp; Buffer Assumptions'!$C$69)+(D30*'Farm &amp; Buffer Assumptions'!$C$69)</f>
        <v>5047.5</v>
      </c>
      <c r="J30" s="338">
        <v>1</v>
      </c>
      <c r="K30" s="28">
        <f>$J30*F30</f>
        <v>0</v>
      </c>
      <c r="L30" s="28">
        <f aca="true" t="shared" si="5" ref="L30:N33">$J30*G30</f>
        <v>0</v>
      </c>
      <c r="M30" s="384" t="s">
        <v>141</v>
      </c>
      <c r="N30" s="28">
        <f t="shared" si="5"/>
        <v>5047.5</v>
      </c>
      <c r="O30" s="272"/>
    </row>
    <row r="31" spans="1:15" ht="18" customHeight="1">
      <c r="A31" s="129" t="s">
        <v>478</v>
      </c>
      <c r="B31" s="341">
        <f>600*'Farm &amp; Buffer Assumptions'!B40</f>
        <v>11653.2</v>
      </c>
      <c r="C31" s="28">
        <f>(B31+D31)/2</f>
        <v>11245.338</v>
      </c>
      <c r="D31" s="341">
        <f>'Farm &amp; Buffer Assumptions'!B40*'Farm &amp; Buffer Assumptions'!C56*Prices!C18</f>
        <v>10837.476</v>
      </c>
      <c r="E31" s="342">
        <v>5</v>
      </c>
      <c r="F31" s="28"/>
      <c r="G31" s="28"/>
      <c r="H31" s="28"/>
      <c r="I31" s="28">
        <f>(C31*'Farm &amp; Buffer Assumptions'!$C$69)+(D31*'Farm &amp; Buffer Assumptions'!$C$69)</f>
        <v>1104.1407</v>
      </c>
      <c r="J31" s="338">
        <v>1</v>
      </c>
      <c r="K31" s="28">
        <f>$J31*F31</f>
        <v>0</v>
      </c>
      <c r="L31" s="28">
        <f t="shared" si="5"/>
        <v>0</v>
      </c>
      <c r="M31" s="384" t="s">
        <v>141</v>
      </c>
      <c r="N31" s="28">
        <f t="shared" si="5"/>
        <v>1104.1407</v>
      </c>
      <c r="O31" s="272"/>
    </row>
    <row r="32" spans="1:15" ht="18" customHeight="1">
      <c r="A32" s="129" t="s">
        <v>150</v>
      </c>
      <c r="B32" s="132"/>
      <c r="C32" s="28"/>
      <c r="D32" s="132"/>
      <c r="E32" s="133"/>
      <c r="F32" s="28"/>
      <c r="G32" s="28"/>
      <c r="H32" s="28"/>
      <c r="I32" s="28"/>
      <c r="J32" s="338">
        <v>0</v>
      </c>
      <c r="K32" s="28">
        <f>$J32*F32</f>
        <v>0</v>
      </c>
      <c r="L32" s="28">
        <f t="shared" si="5"/>
        <v>0</v>
      </c>
      <c r="M32" s="384" t="s">
        <v>141</v>
      </c>
      <c r="N32" s="28">
        <f t="shared" si="5"/>
        <v>0</v>
      </c>
      <c r="O32" s="272"/>
    </row>
    <row r="33" spans="1:15" ht="18" customHeight="1">
      <c r="A33" s="572" t="s">
        <v>150</v>
      </c>
      <c r="B33" s="589"/>
      <c r="C33" s="584"/>
      <c r="D33" s="589"/>
      <c r="E33" s="590"/>
      <c r="F33" s="584"/>
      <c r="G33" s="584"/>
      <c r="H33" s="584"/>
      <c r="I33" s="584"/>
      <c r="J33" s="586">
        <v>0</v>
      </c>
      <c r="K33" s="584">
        <f>$J33*F33</f>
        <v>0</v>
      </c>
      <c r="L33" s="584">
        <f t="shared" si="5"/>
        <v>0</v>
      </c>
      <c r="M33" s="588" t="s">
        <v>141</v>
      </c>
      <c r="N33" s="584">
        <f t="shared" si="5"/>
        <v>0</v>
      </c>
      <c r="O33" s="272"/>
    </row>
    <row r="34" spans="1:15" ht="25.5" customHeight="1">
      <c r="A34" s="608" t="s">
        <v>51</v>
      </c>
      <c r="B34" s="609">
        <f>SUM(B30:B33)</f>
        <v>71653.2</v>
      </c>
      <c r="C34" s="609">
        <f>SUM(C30:C33)</f>
        <v>64895.338</v>
      </c>
      <c r="D34" s="609">
        <f>SUM(D30:D33)</f>
        <v>58137.476</v>
      </c>
      <c r="E34" s="611"/>
      <c r="F34" s="609">
        <f>SUM(F30:F33)</f>
        <v>0</v>
      </c>
      <c r="G34" s="609">
        <f>SUM(G30:G33)</f>
        <v>0</v>
      </c>
      <c r="H34" s="609"/>
      <c r="I34" s="609">
        <f>SUM(I30:I33)</f>
        <v>6151.6407</v>
      </c>
      <c r="J34" s="610"/>
      <c r="K34" s="609">
        <f>SUM(K30:K33)</f>
        <v>0</v>
      </c>
      <c r="L34" s="612">
        <f>G35*J34</f>
        <v>0</v>
      </c>
      <c r="M34" s="612"/>
      <c r="N34" s="609">
        <f>SUM(N30:N33)</f>
        <v>6151.6407</v>
      </c>
      <c r="O34" s="272">
        <f>N34/50</f>
        <v>123.032814</v>
      </c>
    </row>
    <row r="35" spans="1:15" s="29" customFormat="1" ht="18" customHeight="1" thickBot="1">
      <c r="A35"/>
      <c r="B35"/>
      <c r="C35"/>
      <c r="D35"/>
      <c r="E35"/>
      <c r="F35"/>
      <c r="G35"/>
      <c r="H35"/>
      <c r="I35"/>
      <c r="J35"/>
      <c r="K35"/>
      <c r="L35"/>
      <c r="M35"/>
      <c r="N35"/>
      <c r="O35" s="272"/>
    </row>
    <row r="36" spans="1:15" s="29" customFormat="1" ht="57.75" customHeight="1" thickBot="1">
      <c r="A36" s="82" t="s">
        <v>17</v>
      </c>
      <c r="B36" s="83" t="s">
        <v>104</v>
      </c>
      <c r="C36" s="83" t="s">
        <v>19</v>
      </c>
      <c r="D36" s="83" t="s">
        <v>481</v>
      </c>
      <c r="E36" s="82" t="s">
        <v>20</v>
      </c>
      <c r="F36" s="354" t="s">
        <v>533</v>
      </c>
      <c r="G36" s="354" t="s">
        <v>534</v>
      </c>
      <c r="H36" s="354" t="s">
        <v>536</v>
      </c>
      <c r="I36" s="354" t="s">
        <v>483</v>
      </c>
      <c r="J36" s="579" t="s">
        <v>535</v>
      </c>
      <c r="K36" s="354" t="s">
        <v>533</v>
      </c>
      <c r="L36" s="354" t="s">
        <v>534</v>
      </c>
      <c r="M36" s="354" t="s">
        <v>536</v>
      </c>
      <c r="N36" s="354" t="s">
        <v>483</v>
      </c>
      <c r="O36" s="272"/>
    </row>
    <row r="37" spans="1:15" ht="18" customHeight="1">
      <c r="A37" s="350" t="s">
        <v>479</v>
      </c>
      <c r="B37" s="351"/>
      <c r="C37" s="351"/>
      <c r="D37" s="351"/>
      <c r="E37" s="352"/>
      <c r="F37" s="351"/>
      <c r="G37" s="351"/>
      <c r="H37" s="351"/>
      <c r="I37" s="351"/>
      <c r="J37" s="353"/>
      <c r="K37" s="351"/>
      <c r="L37" s="351"/>
      <c r="M37" s="351"/>
      <c r="N37" s="351"/>
      <c r="O37" s="406"/>
    </row>
    <row r="38" spans="1:15" ht="18" customHeight="1">
      <c r="A38" s="27" t="s">
        <v>611</v>
      </c>
      <c r="B38" s="341">
        <v>30000</v>
      </c>
      <c r="C38" s="28">
        <f>(B38+D38)/2</f>
        <v>17920.5</v>
      </c>
      <c r="D38" s="341">
        <f>0.1947*B38</f>
        <v>5841</v>
      </c>
      <c r="E38" s="342">
        <v>15</v>
      </c>
      <c r="F38" s="28">
        <f>C38*'Farm &amp; Buffer Assumptions'!$C$69</f>
        <v>896.0250000000001</v>
      </c>
      <c r="G38" s="28">
        <f>C38*'Farm &amp; Buffer Assumptions'!$C$71</f>
        <v>143.364</v>
      </c>
      <c r="H38" s="28">
        <f>0.003*C38</f>
        <v>53.7615</v>
      </c>
      <c r="I38" s="28">
        <f>((B38-D38)*'Farm &amp; Buffer Assumptions'!$C$69/(1-(1+'Farm &amp; Buffer Assumptions'!$C$69)^-E38))+D38*'Farm &amp; Buffer Assumptions'!$C$69</f>
        <v>2619.5833263517347</v>
      </c>
      <c r="J38" s="338">
        <v>0.3</v>
      </c>
      <c r="K38" s="28">
        <f>$J38*F38</f>
        <v>268.8075</v>
      </c>
      <c r="L38" s="28">
        <f aca="true" t="shared" si="6" ref="L38:N42">$J38*G38</f>
        <v>43.0092</v>
      </c>
      <c r="M38" s="28">
        <f t="shared" si="6"/>
        <v>16.128449999999997</v>
      </c>
      <c r="N38" s="28">
        <f t="shared" si="6"/>
        <v>785.8749979055204</v>
      </c>
      <c r="O38" s="272"/>
    </row>
    <row r="39" spans="1:15" ht="18" customHeight="1">
      <c r="A39" s="27" t="s">
        <v>747</v>
      </c>
      <c r="B39" s="341">
        <v>52000</v>
      </c>
      <c r="C39" s="28">
        <f>(B39+D39)/2</f>
        <v>31062.2</v>
      </c>
      <c r="D39" s="341">
        <f>0.1947*B39</f>
        <v>10124.400000000001</v>
      </c>
      <c r="E39" s="342">
        <v>15</v>
      </c>
      <c r="F39" s="28">
        <f>C39*'Farm &amp; Buffer Assumptions'!$C$69</f>
        <v>1553.1100000000001</v>
      </c>
      <c r="G39" s="28">
        <f>C39*'Farm &amp; Buffer Assumptions'!$C$71</f>
        <v>248.4976</v>
      </c>
      <c r="H39" s="28">
        <f>0.003*C39</f>
        <v>93.1866</v>
      </c>
      <c r="I39" s="28">
        <f>((B39-D39)*'Farm &amp; Buffer Assumptions'!$C$69/(1-(1+'Farm &amp; Buffer Assumptions'!$C$69)^-E39))+D39*'Farm &amp; Buffer Assumptions'!$C$69</f>
        <v>4540.611099009674</v>
      </c>
      <c r="J39" s="338">
        <v>0.2</v>
      </c>
      <c r="K39" s="28">
        <f>$J39*F39</f>
        <v>310.62200000000007</v>
      </c>
      <c r="L39" s="28">
        <f>$J39*G39</f>
        <v>49.69952000000001</v>
      </c>
      <c r="M39" s="28">
        <f>$J39*H39</f>
        <v>18.63732</v>
      </c>
      <c r="N39" s="28">
        <f>$J39*I39</f>
        <v>908.1222198019349</v>
      </c>
      <c r="O39" s="272"/>
    </row>
    <row r="40" spans="1:15" ht="18" customHeight="1">
      <c r="A40" s="27" t="s">
        <v>480</v>
      </c>
      <c r="B40" s="341">
        <v>24000</v>
      </c>
      <c r="C40" s="28">
        <f>(B40+D40)/2</f>
        <v>13200</v>
      </c>
      <c r="D40" s="341">
        <f>0.1*B40</f>
        <v>2400</v>
      </c>
      <c r="E40" s="342">
        <v>10</v>
      </c>
      <c r="F40" s="28">
        <f>C40*'Farm &amp; Buffer Assumptions'!$C$69</f>
        <v>660</v>
      </c>
      <c r="G40" s="28">
        <f>C40*'Farm &amp; Buffer Assumptions'!$C$71</f>
        <v>105.60000000000001</v>
      </c>
      <c r="H40" s="28">
        <f>0.003*C40</f>
        <v>39.6</v>
      </c>
      <c r="I40" s="28">
        <f>((B40-D40)*'Farm &amp; Buffer Assumptions'!$C$69/(1-(1+'Farm &amp; Buffer Assumptions'!$C$69)^-E40))+D40*'Farm &amp; Buffer Assumptions'!$C$69</f>
        <v>2917.298819253864</v>
      </c>
      <c r="J40" s="338">
        <v>0.33</v>
      </c>
      <c r="K40" s="28">
        <f>$J40*F40</f>
        <v>217.8</v>
      </c>
      <c r="L40" s="28">
        <f t="shared" si="6"/>
        <v>34.848000000000006</v>
      </c>
      <c r="M40" s="28">
        <f t="shared" si="6"/>
        <v>13.068000000000001</v>
      </c>
      <c r="N40" s="28">
        <f t="shared" si="6"/>
        <v>962.7086103537753</v>
      </c>
      <c r="O40" s="272"/>
    </row>
    <row r="41" spans="1:15" ht="18" customHeight="1">
      <c r="A41" s="27" t="s">
        <v>150</v>
      </c>
      <c r="B41" s="203"/>
      <c r="C41" s="28"/>
      <c r="D41" s="341"/>
      <c r="E41" s="342"/>
      <c r="F41" s="28">
        <f>C41*'Farm &amp; Buffer Assumptions'!$C$69</f>
        <v>0</v>
      </c>
      <c r="G41" s="28">
        <f>C41*'Farm &amp; Buffer Assumptions'!$C$71</f>
        <v>0</v>
      </c>
      <c r="H41" s="28">
        <f>0.003*C41</f>
        <v>0</v>
      </c>
      <c r="I41" s="28">
        <f>IF(B41&gt;0,(((B41-D41)*'Farm &amp; Buffer Assumptions'!$C$69/(1-(1+'Farm &amp; Buffer Assumptions'!$C$69)^-E41))+D41*'Farm &amp; Buffer Assumptions'!$C$69),0)</f>
        <v>0</v>
      </c>
      <c r="J41" s="338">
        <v>0</v>
      </c>
      <c r="K41" s="28">
        <f>$J41*F41</f>
        <v>0</v>
      </c>
      <c r="L41" s="28">
        <f t="shared" si="6"/>
        <v>0</v>
      </c>
      <c r="M41" s="28">
        <f t="shared" si="6"/>
        <v>0</v>
      </c>
      <c r="N41" s="28">
        <f t="shared" si="6"/>
        <v>0</v>
      </c>
      <c r="O41" s="272"/>
    </row>
    <row r="42" spans="1:15" ht="18" customHeight="1">
      <c r="A42" s="52" t="s">
        <v>150</v>
      </c>
      <c r="B42" s="591"/>
      <c r="C42" s="584"/>
      <c r="D42" s="583"/>
      <c r="E42" s="585"/>
      <c r="F42" s="584">
        <f>C42*'Farm &amp; Buffer Assumptions'!$C$69</f>
        <v>0</v>
      </c>
      <c r="G42" s="584">
        <f>C42*'Farm &amp; Buffer Assumptions'!$C$71</f>
        <v>0</v>
      </c>
      <c r="H42" s="584">
        <f>0.003*C42</f>
        <v>0</v>
      </c>
      <c r="I42" s="584">
        <f>IF(B42&gt;0,(((B42-D42)*'Farm &amp; Buffer Assumptions'!$C$69/(1-(1+'Farm &amp; Buffer Assumptions'!$C$69)^-E42))+D42*'Farm &amp; Buffer Assumptions'!$C$69),0)</f>
        <v>0</v>
      </c>
      <c r="J42" s="586">
        <v>0</v>
      </c>
      <c r="K42" s="584">
        <f>$J42*F42</f>
        <v>0</v>
      </c>
      <c r="L42" s="584">
        <f t="shared" si="6"/>
        <v>0</v>
      </c>
      <c r="M42" s="584">
        <f t="shared" si="6"/>
        <v>0</v>
      </c>
      <c r="N42" s="584">
        <f t="shared" si="6"/>
        <v>0</v>
      </c>
      <c r="O42" s="272"/>
    </row>
    <row r="43" spans="1:15" ht="21" customHeight="1">
      <c r="A43" s="608" t="s">
        <v>51</v>
      </c>
      <c r="B43" s="609">
        <f>SUM(B38:B42)</f>
        <v>106000</v>
      </c>
      <c r="C43" s="609">
        <f>SUM(C38:C42)</f>
        <v>62182.7</v>
      </c>
      <c r="D43" s="609">
        <f>SUM(D38:D42)</f>
        <v>18365.4</v>
      </c>
      <c r="E43" s="611"/>
      <c r="F43" s="609">
        <f>SUM(F38:F42)</f>
        <v>3109.135</v>
      </c>
      <c r="G43" s="609">
        <f>SUM(G38:G42)</f>
        <v>497.46160000000003</v>
      </c>
      <c r="H43" s="609">
        <f>SUM(H38:H42)</f>
        <v>186.5481</v>
      </c>
      <c r="I43" s="609">
        <f>SUM(I38:I42)</f>
        <v>10077.493244615274</v>
      </c>
      <c r="J43" s="610"/>
      <c r="K43" s="609">
        <f>SUM(K38:K42)</f>
        <v>797.2295000000001</v>
      </c>
      <c r="L43" s="609">
        <f>SUM(L38:L42)</f>
        <v>127.55672000000001</v>
      </c>
      <c r="M43" s="609">
        <f>SUM(M38:M42)</f>
        <v>47.83377</v>
      </c>
      <c r="N43" s="609">
        <f>SUM(N38:N42)</f>
        <v>2656.7058280612305</v>
      </c>
      <c r="O43" s="272">
        <f>N43/50</f>
        <v>53.13411656122461</v>
      </c>
    </row>
    <row r="44" spans="1:14" ht="18" customHeight="1">
      <c r="A44" s="134"/>
      <c r="B44" s="135"/>
      <c r="C44" s="135"/>
      <c r="D44" s="135"/>
      <c r="E44" s="136"/>
      <c r="F44" s="135"/>
      <c r="G44" s="135"/>
      <c r="H44" s="135"/>
      <c r="I44" s="135"/>
      <c r="J44" s="335"/>
      <c r="K44" s="335"/>
      <c r="L44" s="335"/>
      <c r="M44" s="335"/>
      <c r="N44" s="335"/>
    </row>
    <row r="45" spans="1:14" ht="18" customHeight="1">
      <c r="A45" s="134" t="s">
        <v>666</v>
      </c>
      <c r="B45" s="729">
        <v>100000</v>
      </c>
      <c r="C45" s="135">
        <f>Prices!C27*'Farm &amp; Buffer Assumptions'!C66</f>
        <v>250000</v>
      </c>
      <c r="D45" s="135"/>
      <c r="E45" s="136"/>
      <c r="F45" s="135"/>
      <c r="G45" s="135"/>
      <c r="H45" s="135"/>
      <c r="I45" s="135"/>
      <c r="J45" s="335"/>
      <c r="K45" s="385">
        <f>Prices!C28*'Farm &amp; Buffer Assumptions'!C66*'Farm &amp; Buffer Assumptions'!C68</f>
        <v>642.5250000000001</v>
      </c>
      <c r="L45" s="335"/>
      <c r="M45" s="335"/>
      <c r="N45" s="335"/>
    </row>
    <row r="46" spans="1:14" ht="18" customHeight="1">
      <c r="A46" s="134"/>
      <c r="B46" s="135"/>
      <c r="C46" s="135"/>
      <c r="D46" s="135"/>
      <c r="E46" s="136"/>
      <c r="F46" s="135"/>
      <c r="G46" s="135"/>
      <c r="H46" s="135"/>
      <c r="I46" s="135"/>
      <c r="J46" s="335"/>
      <c r="K46" s="335"/>
      <c r="L46" s="335"/>
      <c r="M46" s="335"/>
      <c r="N46" s="335"/>
    </row>
    <row r="47" spans="1:15" s="737" customFormat="1" ht="25.5" customHeight="1" thickBot="1">
      <c r="A47" s="592" t="s">
        <v>52</v>
      </c>
      <c r="B47" s="593">
        <f>B45+B43+B34+B27+B20</f>
        <v>355413.2</v>
      </c>
      <c r="C47" s="593">
        <f>C45+C43+C34+C27+C20</f>
        <v>419282.538</v>
      </c>
      <c r="D47" s="593">
        <f>D43+D34+D27+D20</f>
        <v>83151.876</v>
      </c>
      <c r="E47" s="594"/>
      <c r="F47" s="593">
        <f>F43+F34+F27+F20</f>
        <v>4951.01</v>
      </c>
      <c r="G47" s="593">
        <f>G43+G34+G27+G20</f>
        <v>792.1616000000001</v>
      </c>
      <c r="H47" s="593">
        <f>H43+H34+H27+H20</f>
        <v>253.6481</v>
      </c>
      <c r="I47" s="593">
        <f>I43+I34+I27+I20</f>
        <v>22604.858667229408</v>
      </c>
      <c r="J47" s="595"/>
      <c r="K47" s="593">
        <f>K45+K43+K34+K27+K20</f>
        <v>3040.0295000000006</v>
      </c>
      <c r="L47" s="593">
        <f>L43+L34+L27+L20</f>
        <v>127.55672000000001</v>
      </c>
      <c r="M47" s="593">
        <f>M43+M34+M27+M20</f>
        <v>47.83377</v>
      </c>
      <c r="N47" s="593">
        <f>N43+N34+N27+N20</f>
        <v>14606.18799895149</v>
      </c>
      <c r="O47"/>
    </row>
    <row r="48" spans="10:14" ht="13.5" thickTop="1">
      <c r="J48"/>
      <c r="K48"/>
      <c r="L48"/>
      <c r="M48"/>
      <c r="N48"/>
    </row>
    <row r="49" spans="10:14" ht="12.75">
      <c r="J49"/>
      <c r="K49"/>
      <c r="L49"/>
      <c r="M49"/>
      <c r="N49"/>
    </row>
    <row r="50" spans="1:15" s="733" customFormat="1" ht="27" customHeight="1">
      <c r="A50" s="4" t="s">
        <v>153</v>
      </c>
      <c r="B50" s="103"/>
      <c r="C50" s="103"/>
      <c r="D50" s="103"/>
      <c r="E50" s="22"/>
      <c r="F50" s="22"/>
      <c r="G50" s="22"/>
      <c r="H50" s="22"/>
      <c r="I50" s="22"/>
      <c r="J50"/>
      <c r="K50"/>
      <c r="L50"/>
      <c r="M50"/>
      <c r="N50"/>
      <c r="O50"/>
    </row>
    <row r="51" spans="10:14" ht="12.75">
      <c r="J51"/>
      <c r="K51"/>
      <c r="L51"/>
      <c r="M51"/>
      <c r="N51"/>
    </row>
    <row r="52" spans="1:14" ht="73.5" customHeight="1">
      <c r="A52" s="526" t="s">
        <v>103</v>
      </c>
      <c r="B52" s="615" t="s">
        <v>601</v>
      </c>
      <c r="C52" s="615" t="s">
        <v>54</v>
      </c>
      <c r="D52" s="615" t="s">
        <v>602</v>
      </c>
      <c r="E52" s="526" t="s">
        <v>55</v>
      </c>
      <c r="F52" s="526" t="s">
        <v>56</v>
      </c>
      <c r="G52" s="526" t="s">
        <v>604</v>
      </c>
      <c r="H52" s="526" t="s">
        <v>603</v>
      </c>
      <c r="J52"/>
      <c r="K52"/>
      <c r="L52"/>
      <c r="M52"/>
      <c r="N52"/>
    </row>
    <row r="53" spans="1:14" ht="15" customHeight="1">
      <c r="A53" s="39" t="s">
        <v>480</v>
      </c>
      <c r="B53" s="613">
        <v>10000</v>
      </c>
      <c r="C53" s="613">
        <v>500</v>
      </c>
      <c r="D53" s="613">
        <v>12</v>
      </c>
      <c r="E53" s="614">
        <f>B53/D53*Prices!C30*1.15</f>
        <v>1389.583333333333</v>
      </c>
      <c r="F53" s="614">
        <f>E53+C53</f>
        <v>1889.583333333333</v>
      </c>
      <c r="G53" s="454">
        <v>0.3</v>
      </c>
      <c r="H53" s="614">
        <f aca="true" t="shared" si="7" ref="H53:H58">G53*F53</f>
        <v>566.8749999999999</v>
      </c>
      <c r="J53"/>
      <c r="K53"/>
      <c r="L53"/>
      <c r="M53"/>
      <c r="N53"/>
    </row>
    <row r="54" spans="1:14" ht="15" customHeight="1">
      <c r="A54" s="27" t="s">
        <v>540</v>
      </c>
      <c r="B54" s="596">
        <v>100</v>
      </c>
      <c r="C54" s="597">
        <v>325</v>
      </c>
      <c r="D54" s="598" t="s">
        <v>141</v>
      </c>
      <c r="E54" s="599">
        <f>(0.06*55*0.73*Prices!C31*B54)*1.15</f>
        <v>415.55249999999995</v>
      </c>
      <c r="F54" s="600">
        <f>SUM(C54:E54)</f>
        <v>740.5525</v>
      </c>
      <c r="G54" s="396">
        <v>1</v>
      </c>
      <c r="H54" s="105">
        <f t="shared" si="7"/>
        <v>740.5525</v>
      </c>
      <c r="J54"/>
      <c r="K54"/>
      <c r="L54"/>
      <c r="M54"/>
      <c r="N54"/>
    </row>
    <row r="55" spans="1:14" ht="15" customHeight="1">
      <c r="A55" s="27" t="s">
        <v>150</v>
      </c>
      <c r="B55" s="358"/>
      <c r="C55" s="358"/>
      <c r="D55" s="358"/>
      <c r="E55" s="105"/>
      <c r="F55" s="105"/>
      <c r="G55" s="396"/>
      <c r="H55" s="105">
        <f t="shared" si="7"/>
        <v>0</v>
      </c>
      <c r="J55"/>
      <c r="K55"/>
      <c r="L55"/>
      <c r="M55"/>
      <c r="N55"/>
    </row>
    <row r="56" spans="1:14" ht="15" customHeight="1">
      <c r="A56" s="27" t="s">
        <v>150</v>
      </c>
      <c r="B56" s="358"/>
      <c r="C56" s="358"/>
      <c r="D56" s="358"/>
      <c r="E56" s="105"/>
      <c r="F56" s="105"/>
      <c r="G56" s="396"/>
      <c r="H56" s="105">
        <f t="shared" si="7"/>
        <v>0</v>
      </c>
      <c r="J56"/>
      <c r="K56"/>
      <c r="L56"/>
      <c r="M56"/>
      <c r="N56"/>
    </row>
    <row r="57" spans="1:14" ht="15" customHeight="1">
      <c r="A57" s="27" t="s">
        <v>150</v>
      </c>
      <c r="B57" s="358"/>
      <c r="C57" s="358"/>
      <c r="D57" s="358"/>
      <c r="E57" s="105"/>
      <c r="F57" s="105"/>
      <c r="G57" s="396"/>
      <c r="H57" s="105">
        <f t="shared" si="7"/>
        <v>0</v>
      </c>
      <c r="J57"/>
      <c r="K57"/>
      <c r="L57"/>
      <c r="M57"/>
      <c r="N57"/>
    </row>
    <row r="58" spans="1:14" ht="15" customHeight="1" thickBot="1">
      <c r="A58" s="581" t="s">
        <v>150</v>
      </c>
      <c r="B58" s="601"/>
      <c r="C58" s="601"/>
      <c r="D58" s="601"/>
      <c r="E58" s="601"/>
      <c r="F58" s="602"/>
      <c r="G58" s="397"/>
      <c r="H58" s="603">
        <f t="shared" si="7"/>
        <v>0</v>
      </c>
      <c r="I58" s="9"/>
      <c r="J58"/>
      <c r="K58"/>
      <c r="L58"/>
      <c r="M58"/>
      <c r="N58"/>
    </row>
    <row r="59" spans="1:14" ht="21" customHeight="1">
      <c r="A59" s="616" t="s">
        <v>57</v>
      </c>
      <c r="B59" s="617"/>
      <c r="C59" s="618">
        <f aca="true" t="shared" si="8" ref="C59:H59">SUM(C54:C58)</f>
        <v>325</v>
      </c>
      <c r="D59" s="618">
        <f t="shared" si="8"/>
        <v>0</v>
      </c>
      <c r="E59" s="618">
        <f t="shared" si="8"/>
        <v>415.55249999999995</v>
      </c>
      <c r="F59" s="619">
        <f t="shared" si="8"/>
        <v>740.5525</v>
      </c>
      <c r="G59" s="619">
        <f t="shared" si="8"/>
        <v>1</v>
      </c>
      <c r="H59" s="619">
        <f t="shared" si="8"/>
        <v>740.5525</v>
      </c>
      <c r="I59" s="9"/>
      <c r="J59"/>
      <c r="K59"/>
      <c r="L59"/>
      <c r="M59"/>
      <c r="N59"/>
    </row>
    <row r="60" spans="10:14" ht="12.75">
      <c r="J60"/>
      <c r="K60"/>
      <c r="L60"/>
      <c r="M60"/>
      <c r="N60"/>
    </row>
    <row r="61" spans="10:14" ht="12.75">
      <c r="J61"/>
      <c r="K61"/>
      <c r="L61"/>
      <c r="M61"/>
      <c r="N61"/>
    </row>
    <row r="62" spans="1:14" ht="12.75">
      <c r="A62" s="32"/>
      <c r="J62"/>
      <c r="K62"/>
      <c r="L62"/>
      <c r="M62"/>
      <c r="N62"/>
    </row>
    <row r="63" spans="1:14" ht="12.75">
      <c r="A63" s="32"/>
      <c r="J63"/>
      <c r="K63"/>
      <c r="L63"/>
      <c r="M63"/>
      <c r="N63"/>
    </row>
    <row r="64" spans="10:14" ht="12.75">
      <c r="J64"/>
      <c r="K64"/>
      <c r="L64"/>
      <c r="M64"/>
      <c r="N64"/>
    </row>
    <row r="65" spans="10:14" ht="12.75">
      <c r="J65"/>
      <c r="K65"/>
      <c r="L65"/>
      <c r="M65"/>
      <c r="N65"/>
    </row>
  </sheetData>
  <mergeCells count="1">
    <mergeCell ref="A1:F1"/>
  </mergeCells>
  <printOptions/>
  <pageMargins left="0.5" right="0.5" top="0.75" bottom="0.74" header="0.5" footer="0.5"/>
  <pageSetup fitToHeight="3" horizontalDpi="300" verticalDpi="300" orientation="landscape" scale="65" r:id="rId3"/>
  <headerFooter alignWithMargins="0">
    <oddHeader>&amp;LFile Name: &amp;F, Sheet Name: &amp;A&amp;R&amp;D, &amp;T</oddHeader>
    <oddFooter>&amp;LPrepared by:
Resource Consulting&amp;RNumbers in blue can be modified by the user</oddFooter>
  </headerFooter>
  <rowBreaks count="2" manualBreakCount="2">
    <brk id="34" max="13" man="1"/>
    <brk id="48" max="255" man="1"/>
  </rowBreaks>
  <legacyDrawing r:id="rId2"/>
</worksheet>
</file>

<file path=xl/worksheets/sheet7.xml><?xml version="1.0" encoding="utf-8"?>
<worksheet xmlns="http://schemas.openxmlformats.org/spreadsheetml/2006/main" xmlns:r="http://schemas.openxmlformats.org/officeDocument/2006/relationships">
  <sheetPr codeName="Sheet5"/>
  <dimension ref="A1:J63"/>
  <sheetViews>
    <sheetView showGridLines="0" workbookViewId="0" topLeftCell="A1">
      <selection activeCell="A1" sqref="A1:F1"/>
    </sheetView>
  </sheetViews>
  <sheetFormatPr defaultColWidth="9.140625" defaultRowHeight="12.75"/>
  <cols>
    <col min="1" max="1" width="36.00390625" style="1" customWidth="1"/>
    <col min="2" max="2" width="9.140625" style="1" customWidth="1"/>
    <col min="3" max="3" width="9.140625" style="14" customWidth="1"/>
    <col min="4" max="4" width="10.7109375" style="14" customWidth="1"/>
    <col min="5" max="5" width="11.28125" style="21" customWidth="1"/>
    <col min="6" max="6" width="11.7109375" style="14" customWidth="1"/>
    <col min="7" max="7" width="14.7109375" style="0" customWidth="1"/>
    <col min="11" max="16384" width="9.140625" style="211" customWidth="1"/>
  </cols>
  <sheetData>
    <row r="1" spans="1:6" ht="45.75" customHeight="1">
      <c r="A1" s="745" t="s">
        <v>743</v>
      </c>
      <c r="B1" s="746"/>
      <c r="C1" s="746"/>
      <c r="D1" s="746"/>
      <c r="E1" s="746"/>
      <c r="F1" s="746"/>
    </row>
    <row r="2" spans="1:5" ht="24.75" customHeight="1" thickBot="1">
      <c r="A2" s="4" t="s">
        <v>101</v>
      </c>
      <c r="B2" s="4">
        <f>'Farm &amp; Buffer Assumptions'!C3</f>
        <v>100</v>
      </c>
      <c r="E2" s="37"/>
    </row>
    <row r="3" spans="2:6" ht="27.75" customHeight="1" thickBot="1">
      <c r="B3" s="23" t="s">
        <v>0</v>
      </c>
      <c r="C3" s="24" t="s">
        <v>11</v>
      </c>
      <c r="D3" s="24" t="s">
        <v>22</v>
      </c>
      <c r="E3" s="90" t="s">
        <v>18</v>
      </c>
      <c r="F3" s="90" t="s">
        <v>511</v>
      </c>
    </row>
    <row r="4" spans="1:6" ht="19.5" customHeight="1">
      <c r="A4" s="98" t="s">
        <v>34</v>
      </c>
      <c r="B4" s="99"/>
      <c r="C4" s="100"/>
      <c r="D4" s="101"/>
      <c r="E4" s="102"/>
      <c r="F4" s="100"/>
    </row>
    <row r="5" spans="1:7" ht="15" customHeight="1">
      <c r="A5" s="46" t="s">
        <v>453</v>
      </c>
      <c r="B5" s="27" t="s">
        <v>12</v>
      </c>
      <c r="C5" s="316">
        <f>Prices!C14</f>
        <v>90</v>
      </c>
      <c r="D5" s="28">
        <f>'Livestock Receipts &amp; Feed Req.'!E3*'Livestock Receipts &amp; Feed Req.'!C3</f>
        <v>247.5</v>
      </c>
      <c r="E5" s="93">
        <f aca="true" t="shared" si="0" ref="E5:E10">C5*D5</f>
        <v>22275</v>
      </c>
      <c r="F5" s="93">
        <f aca="true" t="shared" si="1" ref="F5:F10">E5/$B$2</f>
        <v>222.75</v>
      </c>
      <c r="G5" s="369">
        <f>E5/$E$11</f>
        <v>0.5188470884607382</v>
      </c>
    </row>
    <row r="6" spans="1:7" ht="15" customHeight="1">
      <c r="A6" s="46" t="s">
        <v>454</v>
      </c>
      <c r="B6" s="27" t="s">
        <v>12</v>
      </c>
      <c r="C6" s="316">
        <f>Prices!C15</f>
        <v>82</v>
      </c>
      <c r="D6" s="28">
        <f>'Livestock Receipts &amp; Feed Req.'!E4*'Livestock Receipts &amp; Feed Req.'!C4</f>
        <v>107.99999999999999</v>
      </c>
      <c r="E6" s="93">
        <f t="shared" si="0"/>
        <v>8855.999999999998</v>
      </c>
      <c r="F6" s="93">
        <f t="shared" si="1"/>
        <v>88.55999999999999</v>
      </c>
      <c r="G6" s="369">
        <f aca="true" t="shared" si="2" ref="G6:G11">E6/$E$11</f>
        <v>0.20628102426075406</v>
      </c>
    </row>
    <row r="7" spans="1:7" ht="15" customHeight="1">
      <c r="A7" s="129" t="s">
        <v>455</v>
      </c>
      <c r="B7" s="27" t="s">
        <v>12</v>
      </c>
      <c r="C7" s="316">
        <f>Prices!C16</f>
        <v>48</v>
      </c>
      <c r="D7" s="28">
        <f>'Livestock Receipts &amp; Feed Req.'!E5*'Livestock Receipts &amp; Feed Req.'!C5</f>
        <v>12.375</v>
      </c>
      <c r="E7" s="93">
        <f t="shared" si="0"/>
        <v>594</v>
      </c>
      <c r="F7" s="93">
        <f t="shared" si="1"/>
        <v>5.94</v>
      </c>
      <c r="G7" s="369">
        <f t="shared" si="2"/>
        <v>0.01383592235895302</v>
      </c>
    </row>
    <row r="8" spans="1:7" ht="15" customHeight="1">
      <c r="A8" s="46" t="s">
        <v>456</v>
      </c>
      <c r="B8" s="27" t="s">
        <v>12</v>
      </c>
      <c r="C8" s="316">
        <f>Prices!C17</f>
        <v>43</v>
      </c>
      <c r="D8" s="28">
        <f>'Livestock Receipts &amp; Feed Req.'!E6*'Livestock Receipts &amp; Feed Req.'!C6</f>
        <v>209</v>
      </c>
      <c r="E8" s="93">
        <f t="shared" si="0"/>
        <v>8987</v>
      </c>
      <c r="F8" s="93">
        <f t="shared" si="1"/>
        <v>89.87</v>
      </c>
      <c r="G8" s="369">
        <f t="shared" si="2"/>
        <v>0.20933238087527067</v>
      </c>
    </row>
    <row r="9" spans="1:7" ht="15" customHeight="1">
      <c r="A9" s="46" t="s">
        <v>457</v>
      </c>
      <c r="B9" s="27"/>
      <c r="C9" s="316">
        <f>Prices!C18</f>
        <v>62</v>
      </c>
      <c r="D9" s="28">
        <f>'Livestock Receipts &amp; Feed Req.'!E7*'Livestock Receipts &amp; Feed Req.'!C7</f>
        <v>35.80200000000001</v>
      </c>
      <c r="E9" s="93">
        <f t="shared" si="0"/>
        <v>2219.7240000000006</v>
      </c>
      <c r="F9" s="93">
        <f t="shared" si="1"/>
        <v>22.197240000000008</v>
      </c>
      <c r="G9" s="369">
        <f t="shared" si="2"/>
        <v>0.05170358404428391</v>
      </c>
    </row>
    <row r="10" spans="1:7" ht="15" customHeight="1">
      <c r="A10" s="27" t="s">
        <v>461</v>
      </c>
      <c r="B10" s="304"/>
      <c r="C10" s="317"/>
      <c r="D10" s="203"/>
      <c r="E10" s="93">
        <f t="shared" si="0"/>
        <v>0</v>
      </c>
      <c r="F10" s="93">
        <f t="shared" si="1"/>
        <v>0</v>
      </c>
      <c r="G10" s="369">
        <f t="shared" si="2"/>
        <v>0</v>
      </c>
    </row>
    <row r="11" spans="1:10" s="209" customFormat="1" ht="20.25" customHeight="1" thickBot="1">
      <c r="A11" s="450" t="s">
        <v>35</v>
      </c>
      <c r="B11" s="450"/>
      <c r="C11" s="451"/>
      <c r="D11" s="452"/>
      <c r="E11" s="452">
        <f>SUM(E5:E10)</f>
        <v>42931.724</v>
      </c>
      <c r="F11" s="452">
        <f>SUM(F5:F10)</f>
        <v>429.31724</v>
      </c>
      <c r="G11" s="370">
        <f t="shared" si="2"/>
        <v>1</v>
      </c>
      <c r="H11" s="187" t="s">
        <v>346</v>
      </c>
      <c r="I11" s="369">
        <f>SUM(G5:G10)</f>
        <v>1</v>
      </c>
      <c r="J11"/>
    </row>
    <row r="12" spans="2:6" ht="30" customHeight="1" thickBot="1">
      <c r="B12" s="82" t="s">
        <v>0</v>
      </c>
      <c r="C12" s="83" t="s">
        <v>11</v>
      </c>
      <c r="D12" s="83" t="s">
        <v>22</v>
      </c>
      <c r="E12" s="146" t="s">
        <v>18</v>
      </c>
      <c r="F12" s="146" t="s">
        <v>667</v>
      </c>
    </row>
    <row r="13" spans="1:6" ht="18" customHeight="1">
      <c r="A13" s="98" t="s">
        <v>6</v>
      </c>
      <c r="B13" s="99"/>
      <c r="C13" s="100"/>
      <c r="D13" s="101"/>
      <c r="E13" s="102"/>
      <c r="F13" s="100"/>
    </row>
    <row r="14" spans="1:6" ht="15" customHeight="1">
      <c r="A14" s="27" t="s">
        <v>1</v>
      </c>
      <c r="B14" s="27"/>
      <c r="C14" s="28"/>
      <c r="D14" s="31"/>
      <c r="E14" s="93"/>
      <c r="F14" s="93"/>
    </row>
    <row r="15" spans="1:6" ht="15" customHeight="1">
      <c r="A15" s="27" t="s">
        <v>514</v>
      </c>
      <c r="B15" s="27" t="str">
        <f>'Livestock Receipts &amp; Feed Req.'!B26</f>
        <v>cwt</v>
      </c>
      <c r="C15" s="654">
        <f>Prices!C6</f>
        <v>5</v>
      </c>
      <c r="D15" s="28">
        <f>'Livestock Receipts &amp; Feed Req.'!O26</f>
        <v>70.30763999999999</v>
      </c>
      <c r="E15" s="366">
        <f aca="true" t="shared" si="3" ref="E15:E22">C15*D15</f>
        <v>351.53819999999996</v>
      </c>
      <c r="F15" s="368">
        <f>E15/$B$2</f>
        <v>3.515382</v>
      </c>
    </row>
    <row r="16" spans="1:6" ht="15" customHeight="1">
      <c r="A16" s="27" t="s">
        <v>513</v>
      </c>
      <c r="B16" s="27" t="str">
        <f>'Livestock Receipts &amp; Feed Req.'!B27</f>
        <v>ton</v>
      </c>
      <c r="C16" s="654">
        <f>Prices!C7</f>
        <v>135</v>
      </c>
      <c r="D16" s="28">
        <f>SUM('Livestock Receipts &amp; Feed Req.'!O28:O31)</f>
        <v>172.817403</v>
      </c>
      <c r="E16" s="366">
        <f t="shared" si="3"/>
        <v>23330.349405</v>
      </c>
      <c r="F16" s="368">
        <f aca="true" t="shared" si="4" ref="F16:F22">E16/$B$2</f>
        <v>233.30349405</v>
      </c>
    </row>
    <row r="17" spans="1:6" ht="15" customHeight="1">
      <c r="A17" s="27" t="s">
        <v>515</v>
      </c>
      <c r="B17" s="27" t="str">
        <f>'Livestock Receipts &amp; Feed Req.'!B32</f>
        <v>AUM</v>
      </c>
      <c r="C17" s="654">
        <f>Prices!C8</f>
        <v>12</v>
      </c>
      <c r="D17" s="28">
        <f>SUM('Livestock Receipts &amp; Feed Req.'!O33:O36)</f>
        <v>863.954</v>
      </c>
      <c r="E17" s="366">
        <f t="shared" si="3"/>
        <v>10367.448</v>
      </c>
      <c r="F17" s="368">
        <f t="shared" si="4"/>
        <v>103.67448</v>
      </c>
    </row>
    <row r="18" spans="1:6" ht="15" customHeight="1">
      <c r="A18" s="27" t="s">
        <v>516</v>
      </c>
      <c r="B18" s="27" t="str">
        <f>'Livestock Receipts &amp; Feed Req.'!B37</f>
        <v>AUM</v>
      </c>
      <c r="C18" s="654">
        <f>Prices!C9</f>
        <v>13</v>
      </c>
      <c r="D18" s="28">
        <f>'Livestock Receipts &amp; Feed Req.'!O37</f>
        <v>123.422</v>
      </c>
      <c r="E18" s="366">
        <f t="shared" si="3"/>
        <v>1604.4859999999999</v>
      </c>
      <c r="F18" s="368">
        <f t="shared" si="4"/>
        <v>16.04486</v>
      </c>
    </row>
    <row r="19" spans="1:6" ht="15" customHeight="1">
      <c r="A19" s="27" t="s">
        <v>517</v>
      </c>
      <c r="B19" s="27" t="str">
        <f>'Livestock Receipts &amp; Feed Req.'!B38</f>
        <v>lb</v>
      </c>
      <c r="C19" s="654">
        <f>Prices!C10</f>
        <v>0.06</v>
      </c>
      <c r="D19" s="28">
        <f>'Livestock Receipts &amp; Feed Req.'!O38</f>
        <v>2203.596</v>
      </c>
      <c r="E19" s="366">
        <f t="shared" si="3"/>
        <v>132.21576</v>
      </c>
      <c r="F19" s="368">
        <f t="shared" si="4"/>
        <v>1.3221576</v>
      </c>
    </row>
    <row r="20" spans="1:6" ht="15" customHeight="1">
      <c r="A20" s="27" t="s">
        <v>659</v>
      </c>
      <c r="B20" s="27" t="str">
        <f>'Livestock Receipts &amp; Feed Req.'!B39</f>
        <v>cwt</v>
      </c>
      <c r="C20" s="654">
        <f>Prices!C11</f>
        <v>7</v>
      </c>
      <c r="D20" s="449">
        <f>'Livestock Receipts &amp; Feed Req.'!O39</f>
        <v>0</v>
      </c>
      <c r="E20" s="366">
        <f t="shared" si="3"/>
        <v>0</v>
      </c>
      <c r="F20" s="368">
        <f t="shared" si="4"/>
        <v>0</v>
      </c>
    </row>
    <row r="21" spans="1:6" ht="15" customHeight="1">
      <c r="A21" s="27" t="s">
        <v>116</v>
      </c>
      <c r="B21" s="398">
        <f>'Livestock Receipts &amp; Feed Req.'!B40</f>
        <v>0</v>
      </c>
      <c r="C21" s="365"/>
      <c r="D21" s="449">
        <f>'Livestock Receipts &amp; Feed Req.'!O40</f>
        <v>0</v>
      </c>
      <c r="E21" s="366">
        <f t="shared" si="3"/>
        <v>0</v>
      </c>
      <c r="F21" s="368">
        <f t="shared" si="4"/>
        <v>0</v>
      </c>
    </row>
    <row r="22" spans="1:6" ht="15" customHeight="1">
      <c r="A22" s="27" t="s">
        <v>117</v>
      </c>
      <c r="B22" s="398">
        <f>'Livestock Receipts &amp; Feed Req.'!B41</f>
        <v>0</v>
      </c>
      <c r="C22" s="365"/>
      <c r="D22" s="449">
        <f>'Livestock Receipts &amp; Feed Req.'!O41</f>
        <v>0</v>
      </c>
      <c r="E22" s="366">
        <f t="shared" si="3"/>
        <v>0</v>
      </c>
      <c r="F22" s="368">
        <f t="shared" si="4"/>
        <v>0</v>
      </c>
    </row>
    <row r="23" spans="1:10" s="732" customFormat="1" ht="15" customHeight="1">
      <c r="A23" s="403" t="s">
        <v>2</v>
      </c>
      <c r="B23" s="403"/>
      <c r="C23" s="404"/>
      <c r="D23" s="405"/>
      <c r="E23" s="404">
        <f>SUM(E15:E22)</f>
        <v>35786.037365</v>
      </c>
      <c r="F23" s="404">
        <f>SUM(F15:F22)</f>
        <v>357.86037365</v>
      </c>
      <c r="G23"/>
      <c r="H23"/>
      <c r="I23"/>
      <c r="J23"/>
    </row>
    <row r="24" spans="1:7" ht="15" customHeight="1">
      <c r="A24" s="27" t="s">
        <v>660</v>
      </c>
      <c r="B24" s="27" t="s">
        <v>13</v>
      </c>
      <c r="C24" s="35">
        <f>Prices!C22</f>
        <v>2</v>
      </c>
      <c r="D24" s="449">
        <f>SUM('Livestock Receipts &amp; Feed Req.'!B15:M19)</f>
        <v>90.32799999999999</v>
      </c>
      <c r="E24" s="93">
        <f>D24*C24</f>
        <v>180.65599999999998</v>
      </c>
      <c r="F24" s="386">
        <f>E24/B2</f>
        <v>1.8065599999999997</v>
      </c>
      <c r="G24" s="202"/>
    </row>
    <row r="25" spans="1:7" ht="15" customHeight="1">
      <c r="A25" s="27" t="s">
        <v>522</v>
      </c>
      <c r="B25" s="27" t="s">
        <v>13</v>
      </c>
      <c r="C25" s="35">
        <f>E25/D25</f>
        <v>14.621598347943358</v>
      </c>
      <c r="D25" s="449">
        <f>SUM('Livestock Receipts &amp; Feed Req.'!B17:M19)</f>
        <v>23.728</v>
      </c>
      <c r="E25" s="368">
        <f>Prices!C23*SUM('Livestock Receipts &amp; Feed Req.'!F5:F7)</f>
        <v>346.9412856</v>
      </c>
      <c r="F25" s="105">
        <f>E25/B2</f>
        <v>3.469412856</v>
      </c>
      <c r="G25" s="202"/>
    </row>
    <row r="26" spans="1:7" ht="15" customHeight="1">
      <c r="A26" s="27" t="s">
        <v>523</v>
      </c>
      <c r="B26" s="27" t="s">
        <v>13</v>
      </c>
      <c r="C26" s="35">
        <f>Prices!C24</f>
        <v>7</v>
      </c>
      <c r="D26" s="449">
        <f>SUM('Livestock Receipts &amp; Feed Req.'!E3:E7)</f>
        <v>90.32799999999999</v>
      </c>
      <c r="E26" s="93">
        <f>D26*C26</f>
        <v>632.2959999999999</v>
      </c>
      <c r="F26" s="105">
        <f>E26/B2</f>
        <v>6.322959999999999</v>
      </c>
      <c r="G26" s="202"/>
    </row>
    <row r="27" spans="1:7" ht="15" customHeight="1">
      <c r="A27" s="27" t="s">
        <v>524</v>
      </c>
      <c r="B27" s="27" t="s">
        <v>13</v>
      </c>
      <c r="C27" s="35">
        <f>Prices!C25</f>
        <v>15</v>
      </c>
      <c r="D27" s="323"/>
      <c r="E27" s="93">
        <f>D27*C27</f>
        <v>0</v>
      </c>
      <c r="F27" s="105">
        <f>E27/B2</f>
        <v>0</v>
      </c>
      <c r="G27" s="202"/>
    </row>
    <row r="28" spans="1:7" ht="15" customHeight="1">
      <c r="A28" s="27" t="s">
        <v>525</v>
      </c>
      <c r="B28" s="27" t="s">
        <v>14</v>
      </c>
      <c r="C28" s="35">
        <v>1</v>
      </c>
      <c r="D28" s="323">
        <v>500</v>
      </c>
      <c r="E28" s="93">
        <f>D28</f>
        <v>500</v>
      </c>
      <c r="F28" s="105">
        <f>E28/$B$2</f>
        <v>5</v>
      </c>
      <c r="G28" s="202"/>
    </row>
    <row r="29" spans="1:7" ht="15" customHeight="1">
      <c r="A29" s="621" t="s">
        <v>526</v>
      </c>
      <c r="B29" s="621" t="s">
        <v>14</v>
      </c>
      <c r="C29" s="368">
        <v>1</v>
      </c>
      <c r="D29" s="449">
        <f>SUM('Cap Investment&amp;Machinery'!H54:H58)</f>
        <v>740.5525</v>
      </c>
      <c r="E29" s="93">
        <f>D29</f>
        <v>740.5525</v>
      </c>
      <c r="F29" s="105">
        <f>E29/$B$2</f>
        <v>7.405525</v>
      </c>
      <c r="G29" s="202"/>
    </row>
    <row r="30" spans="1:7" ht="15" customHeight="1">
      <c r="A30" s="621" t="s">
        <v>527</v>
      </c>
      <c r="B30" s="621" t="s">
        <v>14</v>
      </c>
      <c r="C30" s="368">
        <v>1</v>
      </c>
      <c r="D30" s="449">
        <f>'Cap Investment&amp;Machinery'!H53</f>
        <v>566.8749999999999</v>
      </c>
      <c r="E30" s="93">
        <f>D30</f>
        <v>566.8749999999999</v>
      </c>
      <c r="F30" s="105">
        <f>E30/$B$2</f>
        <v>5.668749999999999</v>
      </c>
      <c r="G30" s="202"/>
    </row>
    <row r="31" spans="1:7" ht="15" customHeight="1">
      <c r="A31" s="621" t="s">
        <v>528</v>
      </c>
      <c r="B31" s="621" t="s">
        <v>14</v>
      </c>
      <c r="C31" s="368">
        <v>1</v>
      </c>
      <c r="D31" s="449">
        <f>0.05*SUM('Cap Investment&amp;Machinery'!C14:C16)</f>
        <v>184.5</v>
      </c>
      <c r="E31" s="93">
        <f>D31</f>
        <v>184.5</v>
      </c>
      <c r="F31" s="105">
        <f>E31/$B$2</f>
        <v>1.845</v>
      </c>
      <c r="G31" s="202"/>
    </row>
    <row r="32" spans="1:9" ht="15" customHeight="1">
      <c r="A32" s="621" t="s">
        <v>529</v>
      </c>
      <c r="B32" s="621" t="s">
        <v>14</v>
      </c>
      <c r="C32" s="368">
        <v>1</v>
      </c>
      <c r="D32" s="449">
        <f>0.01*SUM('Cap Investment&amp;Machinery'!C6:C13)</f>
        <v>331.475</v>
      </c>
      <c r="E32" s="93">
        <f>D32</f>
        <v>331.475</v>
      </c>
      <c r="F32" s="105">
        <f>E32/$B$2</f>
        <v>3.31475</v>
      </c>
      <c r="I32" s="68"/>
    </row>
    <row r="33" spans="1:6" ht="15" customHeight="1">
      <c r="A33" s="27" t="s">
        <v>3</v>
      </c>
      <c r="B33" s="27" t="s">
        <v>584</v>
      </c>
      <c r="C33" s="35">
        <f>Prices!C26</f>
        <v>8.5</v>
      </c>
      <c r="D33" s="14">
        <f>B2*'Farm &amp; Buffer Assumptions'!C62</f>
        <v>200</v>
      </c>
      <c r="E33" s="28">
        <f>D33*C33</f>
        <v>1700</v>
      </c>
      <c r="F33" s="93">
        <f>E33/B2</f>
        <v>17</v>
      </c>
    </row>
    <row r="34" spans="1:6" ht="25.5">
      <c r="A34" s="27" t="s">
        <v>4</v>
      </c>
      <c r="B34" s="27" t="s">
        <v>14</v>
      </c>
      <c r="C34" s="28"/>
      <c r="D34" s="323">
        <v>205</v>
      </c>
      <c r="E34" s="449">
        <f>D34</f>
        <v>205</v>
      </c>
      <c r="F34" s="105">
        <f>E34/B2</f>
        <v>2.05</v>
      </c>
    </row>
    <row r="35" spans="1:6" ht="15" customHeight="1">
      <c r="A35" s="27" t="s">
        <v>150</v>
      </c>
      <c r="B35" s="398"/>
      <c r="C35" s="323"/>
      <c r="D35" s="323"/>
      <c r="E35" s="93">
        <f>C35*D35</f>
        <v>0</v>
      </c>
      <c r="F35" s="105">
        <f>E35/$B$2</f>
        <v>0</v>
      </c>
    </row>
    <row r="36" spans="1:10" ht="15" customHeight="1">
      <c r="A36" s="30" t="s">
        <v>150</v>
      </c>
      <c r="B36" s="399"/>
      <c r="C36" s="400"/>
      <c r="D36" s="400"/>
      <c r="E36" s="93">
        <f>C36*D36</f>
        <v>0</v>
      </c>
      <c r="F36" s="105">
        <f>E36/$B$2</f>
        <v>0</v>
      </c>
      <c r="H36" s="10"/>
      <c r="J36" s="178"/>
    </row>
    <row r="37" spans="1:10" ht="15" customHeight="1" thickBot="1">
      <c r="A37" s="27" t="s">
        <v>154</v>
      </c>
      <c r="B37" s="27"/>
      <c r="C37" s="28"/>
      <c r="D37" s="28"/>
      <c r="E37" s="323">
        <f>SUM(E23:E36)/2*'Farm &amp; Buffer Assumptions'!$C$70/2</f>
        <v>720.5508301355</v>
      </c>
      <c r="F37" s="138">
        <f>E37/B2</f>
        <v>7.205508301355</v>
      </c>
      <c r="H37" s="10"/>
      <c r="I37" s="178"/>
      <c r="J37" s="10"/>
    </row>
    <row r="38" spans="1:10" s="209" customFormat="1" ht="19.5" customHeight="1">
      <c r="A38" s="401" t="s">
        <v>5</v>
      </c>
      <c r="B38" s="401"/>
      <c r="C38" s="402"/>
      <c r="D38" s="402"/>
      <c r="E38" s="402">
        <f>SUM(E23:E36)</f>
        <v>41174.333150599996</v>
      </c>
      <c r="F38" s="402">
        <f>SUM(F23:F37)</f>
        <v>418.94883980735506</v>
      </c>
      <c r="G38" s="407">
        <f>F38/F56</f>
        <v>0.7015630456323857</v>
      </c>
      <c r="H38" s="448" t="s">
        <v>346</v>
      </c>
      <c r="I38" s="406">
        <f>E38/B2</f>
        <v>411.74333150599995</v>
      </c>
      <c r="J38" s="10" t="s">
        <v>620</v>
      </c>
    </row>
    <row r="39" spans="4:9" ht="13.5" customHeight="1">
      <c r="D39" s="36"/>
      <c r="E39" s="91"/>
      <c r="F39" s="92"/>
      <c r="I39" s="68"/>
    </row>
    <row r="40" spans="1:6" ht="17.25" customHeight="1">
      <c r="A40" s="98" t="s">
        <v>530</v>
      </c>
      <c r="B40" s="99"/>
      <c r="C40" s="100"/>
      <c r="D40" s="101"/>
      <c r="E40" s="102"/>
      <c r="F40" s="100"/>
    </row>
    <row r="41" spans="1:6" ht="15" customHeight="1">
      <c r="A41" s="27" t="s">
        <v>152</v>
      </c>
      <c r="B41" s="27"/>
      <c r="C41" s="28"/>
      <c r="D41" s="28"/>
      <c r="E41" s="93">
        <f>'Cap Investment&amp;Machinery'!K47</f>
        <v>3040.0295000000006</v>
      </c>
      <c r="F41" s="93">
        <f>E41/$B$2</f>
        <v>30.400295000000007</v>
      </c>
    </row>
    <row r="42" spans="1:6" ht="15" customHeight="1">
      <c r="A42" s="27" t="s">
        <v>7</v>
      </c>
      <c r="B42" s="27"/>
      <c r="C42" s="28"/>
      <c r="D42" s="28"/>
      <c r="E42" s="93">
        <f>'Cap Investment&amp;Machinery'!L47</f>
        <v>127.55672000000001</v>
      </c>
      <c r="F42" s="93">
        <f>E42/$B$2</f>
        <v>1.2755672000000002</v>
      </c>
    </row>
    <row r="43" spans="1:6" ht="15" customHeight="1">
      <c r="A43" s="27" t="s">
        <v>155</v>
      </c>
      <c r="B43" s="27"/>
      <c r="C43" s="28"/>
      <c r="D43" s="28"/>
      <c r="E43" s="323"/>
      <c r="F43" s="93">
        <f>E43/$B$2</f>
        <v>0</v>
      </c>
    </row>
    <row r="44" spans="1:6" ht="15" customHeight="1">
      <c r="A44" s="27" t="s">
        <v>150</v>
      </c>
      <c r="B44" s="27"/>
      <c r="C44" s="28"/>
      <c r="D44" s="28"/>
      <c r="E44" s="323"/>
      <c r="F44" s="93">
        <f>E44/$B$2</f>
        <v>0</v>
      </c>
    </row>
    <row r="45" spans="1:6" ht="15" customHeight="1">
      <c r="A45" s="27" t="s">
        <v>150</v>
      </c>
      <c r="B45" s="27"/>
      <c r="C45" s="28"/>
      <c r="D45" s="28"/>
      <c r="E45" s="323"/>
      <c r="F45" s="93">
        <f>E45/$B$2</f>
        <v>0</v>
      </c>
    </row>
    <row r="46" spans="1:6" ht="15" customHeight="1">
      <c r="A46" s="324" t="s">
        <v>531</v>
      </c>
      <c r="B46" s="325"/>
      <c r="C46" s="326"/>
      <c r="D46" s="327"/>
      <c r="E46" s="326"/>
      <c r="F46" s="326"/>
    </row>
    <row r="47" spans="1:10" s="209" customFormat="1" ht="15" customHeight="1">
      <c r="A47" s="409" t="s">
        <v>596</v>
      </c>
      <c r="B47" s="27"/>
      <c r="C47" s="28"/>
      <c r="D47" s="28"/>
      <c r="E47" s="622" t="s">
        <v>141</v>
      </c>
      <c r="F47" s="622" t="s">
        <v>141</v>
      </c>
      <c r="G47"/>
      <c r="H47"/>
      <c r="I47"/>
      <c r="J47"/>
    </row>
    <row r="48" spans="1:10" s="209" customFormat="1" ht="15" customHeight="1">
      <c r="A48" s="27" t="s">
        <v>612</v>
      </c>
      <c r="B48" s="27"/>
      <c r="C48" s="28"/>
      <c r="D48" s="28"/>
      <c r="E48" s="93">
        <f>'Cap Investment&amp;Machinery'!N27</f>
        <v>1652.850351250934</v>
      </c>
      <c r="F48" s="93">
        <f aca="true" t="shared" si="5" ref="F48:F54">E48/$B$2</f>
        <v>16.52850351250934</v>
      </c>
      <c r="G48" s="408"/>
      <c r="H48"/>
      <c r="I48"/>
      <c r="J48"/>
    </row>
    <row r="49" spans="1:10" s="209" customFormat="1" ht="15" customHeight="1">
      <c r="A49" s="27" t="s">
        <v>621</v>
      </c>
      <c r="B49" s="27"/>
      <c r="C49" s="28"/>
      <c r="D49" s="28"/>
      <c r="E49" s="93">
        <f>'Cap Investment&amp;Machinery'!N20</f>
        <v>4144.991119639324</v>
      </c>
      <c r="F49" s="93">
        <f t="shared" si="5"/>
        <v>41.44991119639324</v>
      </c>
      <c r="G49" s="408"/>
      <c r="H49"/>
      <c r="I49"/>
      <c r="J49"/>
    </row>
    <row r="50" spans="1:10" s="209" customFormat="1" ht="15" customHeight="1">
      <c r="A50" s="27" t="s">
        <v>622</v>
      </c>
      <c r="B50" s="27"/>
      <c r="C50" s="28"/>
      <c r="D50" s="28"/>
      <c r="E50" s="93">
        <f>'Cap Investment&amp;Machinery'!N43</f>
        <v>2656.7058280612305</v>
      </c>
      <c r="F50" s="93">
        <f t="shared" si="5"/>
        <v>26.567058280612304</v>
      </c>
      <c r="G50" s="408"/>
      <c r="H50"/>
      <c r="I50"/>
      <c r="J50"/>
    </row>
    <row r="51" spans="1:10" s="209" customFormat="1" ht="15" customHeight="1">
      <c r="A51" s="27" t="s">
        <v>613</v>
      </c>
      <c r="B51" s="27"/>
      <c r="C51" s="28"/>
      <c r="D51" s="28"/>
      <c r="E51" s="93">
        <f>'Cap Investment&amp;Machinery'!N34</f>
        <v>6151.6407</v>
      </c>
      <c r="F51" s="93">
        <f t="shared" si="5"/>
        <v>61.516407</v>
      </c>
      <c r="G51" s="408"/>
      <c r="H51"/>
      <c r="I51" s="68"/>
      <c r="J51"/>
    </row>
    <row r="52" spans="1:6" ht="15" customHeight="1">
      <c r="A52" s="27" t="s">
        <v>597</v>
      </c>
      <c r="B52" s="27"/>
      <c r="C52" s="28"/>
      <c r="D52" s="28"/>
      <c r="E52" s="93">
        <f>'Cap Investment&amp;Machinery'!M47</f>
        <v>47.83377</v>
      </c>
      <c r="F52" s="368">
        <f t="shared" si="5"/>
        <v>0.47833770000000003</v>
      </c>
    </row>
    <row r="53" spans="1:10" s="209" customFormat="1" ht="15" customHeight="1">
      <c r="A53" s="27" t="s">
        <v>598</v>
      </c>
      <c r="B53" s="27"/>
      <c r="C53" s="28"/>
      <c r="D53" s="28"/>
      <c r="E53" s="323"/>
      <c r="F53" s="93">
        <f t="shared" si="5"/>
        <v>0</v>
      </c>
      <c r="G53"/>
      <c r="H53"/>
      <c r="I53"/>
      <c r="J53"/>
    </row>
    <row r="54" spans="1:6" ht="15" customHeight="1" thickBot="1">
      <c r="A54" s="30" t="s">
        <v>150</v>
      </c>
      <c r="B54" s="30"/>
      <c r="C54" s="31"/>
      <c r="D54" s="31"/>
      <c r="E54" s="400"/>
      <c r="F54" s="94">
        <f t="shared" si="5"/>
        <v>0</v>
      </c>
    </row>
    <row r="55" spans="1:9" ht="15" customHeight="1">
      <c r="A55" s="401" t="s">
        <v>8</v>
      </c>
      <c r="B55" s="401"/>
      <c r="C55" s="402"/>
      <c r="D55" s="402"/>
      <c r="E55" s="402">
        <f>SUM(E41:E54)</f>
        <v>17821.60798895149</v>
      </c>
      <c r="F55" s="402">
        <f>SUM(F41:F54)</f>
        <v>178.21607988951487</v>
      </c>
      <c r="G55" s="407">
        <f>F55/F56</f>
        <v>0.29843695436761436</v>
      </c>
      <c r="H55" s="187" t="s">
        <v>346</v>
      </c>
      <c r="I55" s="272">
        <f>E55/B2</f>
        <v>178.2160798895149</v>
      </c>
    </row>
    <row r="56" spans="1:6" ht="25.5" customHeight="1">
      <c r="A56" s="198" t="s">
        <v>9</v>
      </c>
      <c r="B56" s="199"/>
      <c r="C56" s="328"/>
      <c r="D56" s="329"/>
      <c r="E56" s="330">
        <f>E38+E55</f>
        <v>58995.94113955149</v>
      </c>
      <c r="F56" s="330">
        <f>F38+F55</f>
        <v>597.1649196968699</v>
      </c>
    </row>
    <row r="57" spans="1:9" ht="28.5">
      <c r="A57" s="331" t="s">
        <v>655</v>
      </c>
      <c r="B57" s="332"/>
      <c r="C57" s="333"/>
      <c r="D57" s="334"/>
      <c r="E57" s="334">
        <f>E11-E56</f>
        <v>-16064.217139551489</v>
      </c>
      <c r="F57" s="334">
        <f>F11-F56</f>
        <v>-167.84767969686987</v>
      </c>
      <c r="H57" s="187" t="s">
        <v>346</v>
      </c>
      <c r="I57" s="272">
        <f>E57/B2</f>
        <v>-160.64217139551488</v>
      </c>
    </row>
    <row r="58" spans="1:10" s="733" customFormat="1" ht="15.75" customHeight="1">
      <c r="A58" s="512" t="s">
        <v>656</v>
      </c>
      <c r="B58" s="512"/>
      <c r="C58" s="105"/>
      <c r="D58" s="105"/>
      <c r="E58" s="105">
        <f>B2*C33*'Farm &amp; Buffer Assumptions'!C61</f>
        <v>6188</v>
      </c>
      <c r="F58" s="94">
        <f>E58/B2</f>
        <v>61.88</v>
      </c>
      <c r="G58"/>
      <c r="H58" s="510"/>
      <c r="I58" s="511"/>
      <c r="J58" s="510"/>
    </row>
    <row r="59" spans="1:10" s="209" customFormat="1" ht="15.75" customHeight="1">
      <c r="A59" s="30" t="s">
        <v>10</v>
      </c>
      <c r="B59" s="30"/>
      <c r="C59" s="31"/>
      <c r="D59" s="31"/>
      <c r="E59" s="94">
        <f>E11*'Farm &amp; Buffer Assumptions'!C59</f>
        <v>2146.5862</v>
      </c>
      <c r="F59" s="94">
        <f>E59/B2</f>
        <v>21.465862</v>
      </c>
      <c r="G59"/>
      <c r="H59"/>
      <c r="I59"/>
      <c r="J59"/>
    </row>
    <row r="60" spans="1:10" s="734" customFormat="1" ht="16.5" thickBot="1">
      <c r="A60" s="27" t="s">
        <v>532</v>
      </c>
      <c r="B60" s="27"/>
      <c r="C60" s="28"/>
      <c r="D60" s="28"/>
      <c r="E60" s="93">
        <f>Prices!C29*'Farm &amp; Buffer Assumptions'!C67</f>
        <v>0</v>
      </c>
      <c r="F60" s="93">
        <f>E60/B2</f>
        <v>0</v>
      </c>
      <c r="G60"/>
      <c r="H60"/>
      <c r="I60"/>
      <c r="J60"/>
    </row>
    <row r="61" spans="1:6" ht="21.75" customHeight="1" thickBot="1">
      <c r="A61" s="455" t="s">
        <v>36</v>
      </c>
      <c r="B61" s="455"/>
      <c r="C61" s="456"/>
      <c r="D61" s="456"/>
      <c r="E61" s="457">
        <f>SUM(E58:E60)+E56</f>
        <v>67330.5273395515</v>
      </c>
      <c r="F61" s="457">
        <f>SUM(F58:F60)+F56</f>
        <v>680.5107816968699</v>
      </c>
    </row>
    <row r="62" spans="1:10" ht="22.5" customHeight="1" thickTop="1">
      <c r="A62" s="95" t="s">
        <v>37</v>
      </c>
      <c r="B62" s="95"/>
      <c r="C62" s="96"/>
      <c r="D62" s="97"/>
      <c r="E62" s="458">
        <f>E11-E61</f>
        <v>-24398.803339551494</v>
      </c>
      <c r="F62" s="458">
        <f>F11-F61</f>
        <v>-251.1935416968699</v>
      </c>
      <c r="H62" s="187" t="s">
        <v>346</v>
      </c>
      <c r="I62" s="272">
        <f>E62/B2</f>
        <v>-243.98803339551495</v>
      </c>
      <c r="J62" s="10" t="s">
        <v>620</v>
      </c>
    </row>
    <row r="63" spans="1:5" ht="21" customHeight="1">
      <c r="A63" s="1" t="s">
        <v>631</v>
      </c>
      <c r="D63" s="36"/>
      <c r="E63" s="36">
        <f>E62/SUM('Farm &amp; Buffer Assumptions'!C66:C67)</f>
        <v>-243.98803339551495</v>
      </c>
    </row>
    <row r="64" ht="12.75"/>
  </sheetData>
  <mergeCells count="1">
    <mergeCell ref="A1:F1"/>
  </mergeCells>
  <printOptions/>
  <pageMargins left="0.5" right="0.5" top="0.72" bottom="0.64" header="0.31" footer="0.5"/>
  <pageSetup fitToHeight="2" horizontalDpi="300" verticalDpi="300" orientation="portrait" r:id="rId3"/>
  <headerFooter alignWithMargins="0">
    <oddHeader>&amp;RFile Name: &amp;F, Sheet Name: &amp;A  &amp;D, &amp;T</oddHeader>
    <oddFooter>&amp;RPrepared by:
Resource Consulting</oddFooter>
  </headerFooter>
  <rowBreaks count="1" manualBreakCount="1">
    <brk id="38" max="5" man="1"/>
  </rowBreaks>
  <legacyDrawing r:id="rId2"/>
</worksheet>
</file>

<file path=xl/worksheets/sheet8.xml><?xml version="1.0" encoding="utf-8"?>
<worksheet xmlns="http://schemas.openxmlformats.org/spreadsheetml/2006/main" xmlns:r="http://schemas.openxmlformats.org/officeDocument/2006/relationships">
  <sheetPr codeName="Sheet8"/>
  <dimension ref="A1:F163"/>
  <sheetViews>
    <sheetView showGridLines="0" workbookViewId="0" topLeftCell="A1">
      <selection activeCell="A1" sqref="A1"/>
    </sheetView>
  </sheetViews>
  <sheetFormatPr defaultColWidth="9.140625" defaultRowHeight="12.75"/>
  <cols>
    <col min="1" max="1" width="58.28125" style="0" customWidth="1"/>
    <col min="2" max="2" width="13.8515625" style="0" customWidth="1"/>
    <col min="3" max="3" width="15.28125" style="0" customWidth="1"/>
    <col min="4" max="4" width="16.28125" style="0" customWidth="1"/>
    <col min="5" max="5" width="17.00390625" style="0" customWidth="1"/>
    <col min="6" max="6" width="12.7109375" style="0" customWidth="1"/>
    <col min="7" max="7" width="11.7109375" style="0" bestFit="1" customWidth="1"/>
    <col min="8" max="8" width="14.421875" style="0" customWidth="1"/>
    <col min="9" max="9" width="10.140625" style="0" bestFit="1" customWidth="1"/>
    <col min="10" max="10" width="69.8515625" style="0" customWidth="1"/>
  </cols>
  <sheetData>
    <row r="1" spans="1:3" ht="32.25" customHeight="1" thickBot="1">
      <c r="A1" s="410" t="s">
        <v>102</v>
      </c>
      <c r="B1" s="411"/>
      <c r="C1" s="412"/>
    </row>
    <row r="2" spans="1:3" ht="15" customHeight="1">
      <c r="A2" s="747" t="s">
        <v>441</v>
      </c>
      <c r="B2" s="748"/>
      <c r="C2" s="748"/>
    </row>
    <row r="3" spans="1:3" ht="33" customHeight="1">
      <c r="A3" s="748"/>
      <c r="B3" s="748"/>
      <c r="C3" s="748"/>
    </row>
    <row r="4" spans="1:3" ht="15" customHeight="1">
      <c r="A4" s="1"/>
      <c r="B4" s="144" t="s">
        <v>0</v>
      </c>
      <c r="C4" s="144" t="s">
        <v>70</v>
      </c>
    </row>
    <row r="5" spans="1:3" ht="15" customHeight="1">
      <c r="A5" s="13" t="s">
        <v>67</v>
      </c>
      <c r="B5" s="11" t="s">
        <v>71</v>
      </c>
      <c r="C5" s="413">
        <v>6500</v>
      </c>
    </row>
    <row r="6" spans="1:3" ht="15" customHeight="1">
      <c r="A6" s="13" t="s">
        <v>68</v>
      </c>
      <c r="B6" s="11" t="s">
        <v>71</v>
      </c>
      <c r="C6" s="413">
        <v>0</v>
      </c>
    </row>
    <row r="7" spans="1:3" ht="15" customHeight="1">
      <c r="A7" s="13" t="s">
        <v>69</v>
      </c>
      <c r="B7" s="11" t="s">
        <v>71</v>
      </c>
      <c r="C7" s="413">
        <v>0</v>
      </c>
    </row>
    <row r="8" spans="1:3" ht="15" customHeight="1">
      <c r="A8" s="13" t="s">
        <v>157</v>
      </c>
      <c r="B8" s="11" t="s">
        <v>71</v>
      </c>
      <c r="C8" s="413">
        <v>0</v>
      </c>
    </row>
    <row r="9" spans="1:3" ht="15" customHeight="1">
      <c r="A9" s="13" t="s">
        <v>158</v>
      </c>
      <c r="B9" s="11" t="s">
        <v>71</v>
      </c>
      <c r="C9" s="413">
        <v>0</v>
      </c>
    </row>
    <row r="10" spans="1:3" ht="15" customHeight="1">
      <c r="A10" s="13" t="s">
        <v>156</v>
      </c>
      <c r="B10" s="11" t="s">
        <v>71</v>
      </c>
      <c r="C10" s="413">
        <v>0</v>
      </c>
    </row>
    <row r="11" spans="1:4" s="3" customFormat="1" ht="15" customHeight="1">
      <c r="A11" s="2" t="s">
        <v>18</v>
      </c>
      <c r="C11" s="33">
        <f>SUM(C5:C10)</f>
        <v>6500</v>
      </c>
      <c r="D11"/>
    </row>
    <row r="12" spans="1:4" s="3" customFormat="1" ht="15" customHeight="1">
      <c r="A12" s="2"/>
      <c r="C12" s="33"/>
      <c r="D12"/>
    </row>
    <row r="13" spans="1:4" s="3" customFormat="1" ht="15" customHeight="1">
      <c r="A13" s="198" t="s">
        <v>247</v>
      </c>
      <c r="C13" s="33"/>
      <c r="D13"/>
    </row>
    <row r="14" spans="1:4" s="3" customFormat="1" ht="15" customHeight="1">
      <c r="A14" s="2"/>
      <c r="B14" s="144" t="s">
        <v>0</v>
      </c>
      <c r="C14" s="144" t="s">
        <v>70</v>
      </c>
      <c r="D14"/>
    </row>
    <row r="15" spans="1:4" s="3" customFormat="1" ht="15" customHeight="1">
      <c r="A15" s="2"/>
      <c r="B15" s="74" t="s">
        <v>71</v>
      </c>
      <c r="C15" s="413">
        <v>1500</v>
      </c>
      <c r="D15"/>
    </row>
    <row r="16" spans="1:4" s="3" customFormat="1" ht="15" customHeight="1">
      <c r="A16" s="137" t="s">
        <v>248</v>
      </c>
      <c r="B16" s="74" t="s">
        <v>71</v>
      </c>
      <c r="C16" s="279">
        <f>Prices!C39</f>
        <v>2</v>
      </c>
      <c r="D16"/>
    </row>
    <row r="17" spans="1:4" s="3" customFormat="1" ht="15" customHeight="1">
      <c r="A17" s="2"/>
      <c r="B17" s="18"/>
      <c r="C17" s="200"/>
      <c r="D17"/>
    </row>
    <row r="18" ht="15" customHeight="1">
      <c r="A18" s="198" t="s">
        <v>161</v>
      </c>
    </row>
    <row r="19" spans="1:3" ht="15" customHeight="1">
      <c r="A19" s="65" t="s">
        <v>41</v>
      </c>
      <c r="B19" s="144" t="s">
        <v>263</v>
      </c>
      <c r="C19" s="144" t="s">
        <v>72</v>
      </c>
    </row>
    <row r="20" spans="1:3" ht="15" customHeight="1">
      <c r="A20" s="74" t="s">
        <v>163</v>
      </c>
      <c r="B20" s="414">
        <v>0</v>
      </c>
      <c r="C20" s="63">
        <f>(C5*B20)/43560</f>
        <v>0</v>
      </c>
    </row>
    <row r="21" spans="1:3" ht="15" customHeight="1">
      <c r="A21" s="11" t="s">
        <v>317</v>
      </c>
      <c r="B21" s="414">
        <v>0</v>
      </c>
      <c r="C21" s="63">
        <f>(C5*B21)/43560</f>
        <v>0</v>
      </c>
    </row>
    <row r="22" spans="1:3" ht="15" customHeight="1">
      <c r="A22" s="11" t="s">
        <v>316</v>
      </c>
      <c r="B22" s="414">
        <v>0</v>
      </c>
      <c r="C22" s="63">
        <f>(C5*B22)/43560</f>
        <v>0</v>
      </c>
    </row>
    <row r="23" spans="1:3" ht="15" customHeight="1">
      <c r="A23" s="11" t="s">
        <v>28</v>
      </c>
      <c r="B23" s="414">
        <v>0</v>
      </c>
      <c r="C23" s="63">
        <f>(C5*B23)/43560</f>
        <v>0</v>
      </c>
    </row>
    <row r="24" spans="1:3" ht="15" customHeight="1">
      <c r="A24" s="11" t="s">
        <v>40</v>
      </c>
      <c r="B24" s="414">
        <v>0</v>
      </c>
      <c r="C24" s="63">
        <f>(C5*B24)/43560</f>
        <v>0</v>
      </c>
    </row>
    <row r="25" spans="1:3" ht="15" customHeight="1">
      <c r="A25" s="11" t="s">
        <v>29</v>
      </c>
      <c r="B25" s="414">
        <v>100</v>
      </c>
      <c r="C25" s="63">
        <f>(C5*B25)/43560</f>
        <v>14.921946740128558</v>
      </c>
    </row>
    <row r="26" spans="1:3" ht="15" customHeight="1">
      <c r="A26" s="11" t="s">
        <v>30</v>
      </c>
      <c r="B26" s="414">
        <v>0</v>
      </c>
      <c r="C26" s="63">
        <f>(C5*B26)/43560</f>
        <v>0</v>
      </c>
    </row>
    <row r="27" spans="1:3" ht="15" customHeight="1">
      <c r="A27" s="415" t="s">
        <v>256</v>
      </c>
      <c r="B27" s="415">
        <f>SUM(B20:B26)</f>
        <v>100</v>
      </c>
      <c r="C27" s="416">
        <f>SUM(C20:C26)</f>
        <v>14.921946740128558</v>
      </c>
    </row>
    <row r="28" ht="15" customHeight="1"/>
    <row r="29" ht="15" customHeight="1">
      <c r="A29" s="198" t="s">
        <v>249</v>
      </c>
    </row>
    <row r="30" spans="1:3" ht="15" customHeight="1">
      <c r="A30" s="65" t="s">
        <v>41</v>
      </c>
      <c r="B30" s="144" t="s">
        <v>263</v>
      </c>
      <c r="C30" s="144" t="s">
        <v>72</v>
      </c>
    </row>
    <row r="31" spans="1:3" ht="15" customHeight="1">
      <c r="A31" s="74" t="s">
        <v>163</v>
      </c>
      <c r="B31" s="414">
        <v>0</v>
      </c>
      <c r="C31" s="63">
        <f>(C6*B31)/43560</f>
        <v>0</v>
      </c>
    </row>
    <row r="32" spans="1:3" ht="15" customHeight="1">
      <c r="A32" s="11" t="s">
        <v>317</v>
      </c>
      <c r="B32" s="414">
        <v>0</v>
      </c>
      <c r="C32" s="63">
        <f>(C6*B32)/43560</f>
        <v>0</v>
      </c>
    </row>
    <row r="33" spans="1:3" ht="15" customHeight="1">
      <c r="A33" s="11" t="s">
        <v>316</v>
      </c>
      <c r="B33" s="414">
        <v>0</v>
      </c>
      <c r="C33" s="63">
        <f>(C6*B33)/43560</f>
        <v>0</v>
      </c>
    </row>
    <row r="34" spans="1:3" ht="15" customHeight="1">
      <c r="A34" s="11" t="s">
        <v>28</v>
      </c>
      <c r="B34" s="414">
        <v>0</v>
      </c>
      <c r="C34" s="63">
        <f>(C6*B34)/43560</f>
        <v>0</v>
      </c>
    </row>
    <row r="35" spans="1:3" ht="15" customHeight="1">
      <c r="A35" s="11" t="s">
        <v>40</v>
      </c>
      <c r="B35" s="414">
        <v>0</v>
      </c>
      <c r="C35" s="63">
        <f>(C6*B35)/43560</f>
        <v>0</v>
      </c>
    </row>
    <row r="36" spans="1:3" ht="15" customHeight="1">
      <c r="A36" s="11" t="s">
        <v>29</v>
      </c>
      <c r="B36" s="414">
        <v>0</v>
      </c>
      <c r="C36" s="63">
        <f>(C6*B36)/43560</f>
        <v>0</v>
      </c>
    </row>
    <row r="37" spans="1:3" ht="15" customHeight="1">
      <c r="A37" s="11" t="s">
        <v>30</v>
      </c>
      <c r="B37" s="414">
        <v>0</v>
      </c>
      <c r="C37" s="63">
        <f>(C6*B37)/43560</f>
        <v>0</v>
      </c>
    </row>
    <row r="38" spans="1:3" ht="15" customHeight="1">
      <c r="A38" s="415" t="s">
        <v>257</v>
      </c>
      <c r="B38" s="415">
        <f>SUM(B31:B37)</f>
        <v>0</v>
      </c>
      <c r="C38" s="416">
        <f>SUM(C31:C37)</f>
        <v>0</v>
      </c>
    </row>
    <row r="39" ht="15" customHeight="1"/>
    <row r="40" ht="15" customHeight="1">
      <c r="A40" s="198" t="s">
        <v>250</v>
      </c>
    </row>
    <row r="41" spans="1:3" ht="15" customHeight="1">
      <c r="A41" s="65" t="s">
        <v>41</v>
      </c>
      <c r="B41" s="144" t="s">
        <v>263</v>
      </c>
      <c r="C41" s="144" t="s">
        <v>72</v>
      </c>
    </row>
    <row r="42" spans="1:3" ht="15" customHeight="1">
      <c r="A42" s="74" t="s">
        <v>163</v>
      </c>
      <c r="B42" s="414">
        <v>0</v>
      </c>
      <c r="C42" s="63">
        <f>(C7*B42)/43560</f>
        <v>0</v>
      </c>
    </row>
    <row r="43" spans="1:3" ht="15" customHeight="1">
      <c r="A43" s="11" t="s">
        <v>317</v>
      </c>
      <c r="B43" s="414">
        <v>0</v>
      </c>
      <c r="C43" s="63">
        <f>(C7*B43)/43560</f>
        <v>0</v>
      </c>
    </row>
    <row r="44" spans="1:3" ht="15" customHeight="1">
      <c r="A44" s="11" t="s">
        <v>316</v>
      </c>
      <c r="B44" s="414">
        <v>0</v>
      </c>
      <c r="C44" s="63">
        <f>(C7*B44)/43560</f>
        <v>0</v>
      </c>
    </row>
    <row r="45" spans="1:3" ht="15" customHeight="1">
      <c r="A45" s="11" t="s">
        <v>28</v>
      </c>
      <c r="B45" s="414">
        <v>0</v>
      </c>
      <c r="C45" s="63">
        <f>(C7*B45)/43560</f>
        <v>0</v>
      </c>
    </row>
    <row r="46" spans="1:3" ht="15" customHeight="1">
      <c r="A46" s="11" t="s">
        <v>40</v>
      </c>
      <c r="B46" s="414">
        <v>0</v>
      </c>
      <c r="C46" s="63">
        <f>(C7*B46)/43560</f>
        <v>0</v>
      </c>
    </row>
    <row r="47" spans="1:3" ht="15" customHeight="1">
      <c r="A47" s="11" t="s">
        <v>29</v>
      </c>
      <c r="B47" s="414">
        <v>0</v>
      </c>
      <c r="C47" s="63">
        <f>(C7*B47)/43560</f>
        <v>0</v>
      </c>
    </row>
    <row r="48" spans="1:3" ht="15" customHeight="1">
      <c r="A48" s="11" t="s">
        <v>30</v>
      </c>
      <c r="B48" s="414">
        <v>0</v>
      </c>
      <c r="C48" s="63">
        <f>(C7*B48)/43560</f>
        <v>0</v>
      </c>
    </row>
    <row r="49" spans="1:3" ht="15" customHeight="1">
      <c r="A49" s="415" t="s">
        <v>258</v>
      </c>
      <c r="B49" s="415">
        <f>SUM(B42:B48)</f>
        <v>0</v>
      </c>
      <c r="C49" s="416">
        <f>SUM(C42:C48)</f>
        <v>0</v>
      </c>
    </row>
    <row r="50" ht="15" customHeight="1"/>
    <row r="51" ht="15" customHeight="1">
      <c r="A51" s="198" t="s">
        <v>251</v>
      </c>
    </row>
    <row r="52" spans="1:3" ht="15" customHeight="1">
      <c r="A52" s="65" t="s">
        <v>41</v>
      </c>
      <c r="B52" s="144" t="s">
        <v>263</v>
      </c>
      <c r="C52" s="144" t="s">
        <v>72</v>
      </c>
    </row>
    <row r="53" spans="1:3" ht="15" customHeight="1">
      <c r="A53" s="74" t="s">
        <v>163</v>
      </c>
      <c r="B53" s="414">
        <v>0</v>
      </c>
      <c r="C53" s="63">
        <f>(C8*B53)/43560</f>
        <v>0</v>
      </c>
    </row>
    <row r="54" spans="1:3" ht="15" customHeight="1">
      <c r="A54" s="11" t="s">
        <v>317</v>
      </c>
      <c r="B54" s="414">
        <v>0</v>
      </c>
      <c r="C54" s="63">
        <f>(C8*B54)/43560</f>
        <v>0</v>
      </c>
    </row>
    <row r="55" spans="1:3" ht="15" customHeight="1">
      <c r="A55" s="11" t="s">
        <v>316</v>
      </c>
      <c r="B55" s="414">
        <v>0</v>
      </c>
      <c r="C55" s="63">
        <f>(C8*B55)/43560</f>
        <v>0</v>
      </c>
    </row>
    <row r="56" spans="1:3" ht="15" customHeight="1">
      <c r="A56" s="11" t="s">
        <v>28</v>
      </c>
      <c r="B56" s="414">
        <v>0</v>
      </c>
      <c r="C56" s="63">
        <f>(C8*B56)/43560</f>
        <v>0</v>
      </c>
    </row>
    <row r="57" spans="1:3" ht="15" customHeight="1">
      <c r="A57" s="11" t="s">
        <v>40</v>
      </c>
      <c r="B57" s="414">
        <v>0</v>
      </c>
      <c r="C57" s="63">
        <f>(C8*B57)/43560</f>
        <v>0</v>
      </c>
    </row>
    <row r="58" spans="1:3" ht="15" customHeight="1">
      <c r="A58" s="11" t="s">
        <v>29</v>
      </c>
      <c r="B58" s="414">
        <v>0</v>
      </c>
      <c r="C58" s="63">
        <f>(C8*B58)/43560</f>
        <v>0</v>
      </c>
    </row>
    <row r="59" spans="1:3" ht="15" customHeight="1">
      <c r="A59" s="11" t="s">
        <v>30</v>
      </c>
      <c r="B59" s="414">
        <v>0</v>
      </c>
      <c r="C59" s="63">
        <f>(C8*B59)/43560</f>
        <v>0</v>
      </c>
    </row>
    <row r="60" spans="1:3" ht="15" customHeight="1">
      <c r="A60" s="415" t="s">
        <v>259</v>
      </c>
      <c r="B60" s="415">
        <f>SUM(B53:B59)</f>
        <v>0</v>
      </c>
      <c r="C60" s="416">
        <f>SUM(C53:C59)</f>
        <v>0</v>
      </c>
    </row>
    <row r="61" ht="15" customHeight="1"/>
    <row r="62" ht="15" customHeight="1">
      <c r="A62" s="198" t="s">
        <v>252</v>
      </c>
    </row>
    <row r="63" spans="1:3" ht="15" customHeight="1">
      <c r="A63" s="65" t="s">
        <v>41</v>
      </c>
      <c r="B63" s="144" t="s">
        <v>263</v>
      </c>
      <c r="C63" s="144" t="s">
        <v>72</v>
      </c>
    </row>
    <row r="64" spans="1:3" ht="15" customHeight="1">
      <c r="A64" s="74" t="s">
        <v>163</v>
      </c>
      <c r="B64" s="414">
        <v>0</v>
      </c>
      <c r="C64" s="63">
        <f>(C9*B64)/43560</f>
        <v>0</v>
      </c>
    </row>
    <row r="65" spans="1:3" ht="15" customHeight="1">
      <c r="A65" s="11" t="s">
        <v>317</v>
      </c>
      <c r="B65" s="414">
        <v>0</v>
      </c>
      <c r="C65" s="63">
        <f>(C9*B65)/43560</f>
        <v>0</v>
      </c>
    </row>
    <row r="66" spans="1:3" ht="15" customHeight="1">
      <c r="A66" s="11" t="s">
        <v>316</v>
      </c>
      <c r="B66" s="414">
        <v>0</v>
      </c>
      <c r="C66" s="63">
        <f>(C9*B66)/43560</f>
        <v>0</v>
      </c>
    </row>
    <row r="67" spans="1:3" ht="15" customHeight="1">
      <c r="A67" s="11" t="s">
        <v>28</v>
      </c>
      <c r="B67" s="414">
        <v>0</v>
      </c>
      <c r="C67" s="63">
        <f>(C9*B67)/43560</f>
        <v>0</v>
      </c>
    </row>
    <row r="68" spans="1:3" ht="15" customHeight="1">
      <c r="A68" s="11" t="s">
        <v>40</v>
      </c>
      <c r="B68" s="414">
        <v>0</v>
      </c>
      <c r="C68" s="63">
        <f>(C9*B68)/43560</f>
        <v>0</v>
      </c>
    </row>
    <row r="69" spans="1:3" ht="15" customHeight="1">
      <c r="A69" s="11" t="s">
        <v>29</v>
      </c>
      <c r="B69" s="414">
        <v>0</v>
      </c>
      <c r="C69" s="63">
        <f>(C9*B69)/43560</f>
        <v>0</v>
      </c>
    </row>
    <row r="70" spans="1:3" ht="15" customHeight="1">
      <c r="A70" s="11" t="s">
        <v>30</v>
      </c>
      <c r="B70" s="414">
        <v>0</v>
      </c>
      <c r="C70" s="63">
        <f>(C9*B70)/43560</f>
        <v>0</v>
      </c>
    </row>
    <row r="71" spans="1:3" ht="15" customHeight="1">
      <c r="A71" s="415" t="s">
        <v>260</v>
      </c>
      <c r="B71" s="415">
        <f>SUM(B64:B70)</f>
        <v>0</v>
      </c>
      <c r="C71" s="387">
        <f>SUM(C64:C70)</f>
        <v>0</v>
      </c>
    </row>
    <row r="72" spans="2:3" ht="15" customHeight="1">
      <c r="B72" s="3"/>
      <c r="C72" s="66"/>
    </row>
    <row r="73" ht="15" customHeight="1">
      <c r="A73" s="199" t="s">
        <v>253</v>
      </c>
    </row>
    <row r="74" spans="1:3" ht="15" customHeight="1">
      <c r="A74" s="65" t="s">
        <v>41</v>
      </c>
      <c r="B74" s="144" t="s">
        <v>263</v>
      </c>
      <c r="C74" s="144" t="s">
        <v>72</v>
      </c>
    </row>
    <row r="75" spans="1:3" ht="15" customHeight="1">
      <c r="A75" s="74" t="s">
        <v>163</v>
      </c>
      <c r="B75" s="414">
        <v>0</v>
      </c>
      <c r="C75" s="63">
        <f>(C10*B75)/43560</f>
        <v>0</v>
      </c>
    </row>
    <row r="76" spans="1:3" ht="15" customHeight="1">
      <c r="A76" s="11" t="s">
        <v>317</v>
      </c>
      <c r="B76" s="414">
        <v>0</v>
      </c>
      <c r="C76" s="63">
        <f>(C10*B76)/43560</f>
        <v>0</v>
      </c>
    </row>
    <row r="77" spans="1:3" ht="15" customHeight="1">
      <c r="A77" s="11" t="s">
        <v>316</v>
      </c>
      <c r="B77" s="414">
        <v>0</v>
      </c>
      <c r="C77" s="63">
        <f>(C10*B77)/43560</f>
        <v>0</v>
      </c>
    </row>
    <row r="78" spans="1:3" ht="15" customHeight="1">
      <c r="A78" s="11" t="s">
        <v>28</v>
      </c>
      <c r="B78" s="414">
        <v>0</v>
      </c>
      <c r="C78" s="63">
        <f>(C10*B78)/43560</f>
        <v>0</v>
      </c>
    </row>
    <row r="79" spans="1:3" ht="15" customHeight="1">
      <c r="A79" s="11" t="s">
        <v>40</v>
      </c>
      <c r="B79" s="414">
        <v>0</v>
      </c>
      <c r="C79" s="63">
        <f>(C10*B79)/43560</f>
        <v>0</v>
      </c>
    </row>
    <row r="80" spans="1:3" ht="15" customHeight="1">
      <c r="A80" s="11" t="s">
        <v>29</v>
      </c>
      <c r="B80" s="414">
        <v>0</v>
      </c>
      <c r="C80" s="63">
        <f>(C10*B80)/43560</f>
        <v>0</v>
      </c>
    </row>
    <row r="81" spans="1:3" ht="15" customHeight="1">
      <c r="A81" s="11" t="s">
        <v>30</v>
      </c>
      <c r="B81" s="414">
        <v>0</v>
      </c>
      <c r="C81" s="63">
        <f>(C10*B81)/43560</f>
        <v>0</v>
      </c>
    </row>
    <row r="82" spans="1:3" ht="15" customHeight="1">
      <c r="A82" s="415" t="s">
        <v>261</v>
      </c>
      <c r="B82" s="415">
        <f>SUM(B75:B81)</f>
        <v>0</v>
      </c>
      <c r="C82" s="416">
        <f>SUM(C75:C81)</f>
        <v>0</v>
      </c>
    </row>
    <row r="83" spans="2:3" ht="27" customHeight="1">
      <c r="B83" s="3"/>
      <c r="C83" s="66"/>
    </row>
    <row r="84" spans="1:2" ht="22.5" customHeight="1">
      <c r="A84" s="417" t="s">
        <v>162</v>
      </c>
      <c r="B84" s="418" t="s">
        <v>72</v>
      </c>
    </row>
    <row r="85" spans="1:2" ht="15">
      <c r="A85" s="84" t="s">
        <v>163</v>
      </c>
      <c r="B85" s="145">
        <f aca="true" t="shared" si="0" ref="B85:B91">C75+C64+C53+C42+C31+C20</f>
        <v>0</v>
      </c>
    </row>
    <row r="86" spans="1:2" ht="15">
      <c r="A86" s="84" t="s">
        <v>317</v>
      </c>
      <c r="B86" s="145">
        <f t="shared" si="0"/>
        <v>0</v>
      </c>
    </row>
    <row r="87" spans="1:2" ht="15">
      <c r="A87" s="84" t="s">
        <v>316</v>
      </c>
      <c r="B87" s="145">
        <f t="shared" si="0"/>
        <v>0</v>
      </c>
    </row>
    <row r="88" spans="1:2" ht="15">
      <c r="A88" s="84" t="s">
        <v>28</v>
      </c>
      <c r="B88" s="145">
        <f t="shared" si="0"/>
        <v>0</v>
      </c>
    </row>
    <row r="89" spans="1:2" ht="15">
      <c r="A89" s="84" t="s">
        <v>40</v>
      </c>
      <c r="B89" s="145">
        <f t="shared" si="0"/>
        <v>0</v>
      </c>
    </row>
    <row r="90" spans="1:2" ht="15">
      <c r="A90" s="84" t="s">
        <v>29</v>
      </c>
      <c r="B90" s="145">
        <f t="shared" si="0"/>
        <v>14.921946740128558</v>
      </c>
    </row>
    <row r="91" spans="1:2" ht="15.75" thickBot="1">
      <c r="A91" s="141" t="s">
        <v>30</v>
      </c>
      <c r="B91" s="145">
        <f t="shared" si="0"/>
        <v>0</v>
      </c>
    </row>
    <row r="92" spans="1:6" ht="18.75" customHeight="1" thickBot="1">
      <c r="A92" s="419" t="s">
        <v>73</v>
      </c>
      <c r="B92" s="420">
        <f>SUM(B85:B91)</f>
        <v>14.921946740128558</v>
      </c>
      <c r="C92" s="64"/>
      <c r="E92" s="187" t="s">
        <v>74</v>
      </c>
      <c r="F92" s="64">
        <f>C27+C38+C49+C60+C71+C82</f>
        <v>14.921946740128558</v>
      </c>
    </row>
    <row r="93" spans="1:3" ht="15">
      <c r="A93" s="142" t="s">
        <v>159</v>
      </c>
      <c r="B93" s="143">
        <f>B85+B89+B90</f>
        <v>14.921946740128558</v>
      </c>
      <c r="C93" s="64"/>
    </row>
    <row r="94" spans="1:3" ht="15">
      <c r="A94" s="139" t="s">
        <v>160</v>
      </c>
      <c r="B94" s="140">
        <f>B86+B87+B88+B91</f>
        <v>0</v>
      </c>
      <c r="C94" s="64"/>
    </row>
    <row r="95" spans="1:3" ht="30">
      <c r="A95" s="421" t="s">
        <v>614</v>
      </c>
      <c r="B95" s="422">
        <v>0</v>
      </c>
      <c r="C95" s="64"/>
    </row>
    <row r="96" ht="19.5" customHeight="1"/>
    <row r="97" spans="1:3" ht="30" customHeight="1">
      <c r="A97" s="423" t="s">
        <v>99</v>
      </c>
      <c r="B97" s="623">
        <f>B92</f>
        <v>14.921946740128558</v>
      </c>
      <c r="C97" s="624" t="s">
        <v>72</v>
      </c>
    </row>
    <row r="98" ht="13.5" thickBot="1"/>
    <row r="99" spans="1:4" ht="31.5" customHeight="1" thickBot="1">
      <c r="A99" s="424" t="s">
        <v>168</v>
      </c>
      <c r="B99" s="425" t="s">
        <v>14</v>
      </c>
      <c r="C99" s="425" t="s">
        <v>231</v>
      </c>
      <c r="D99" s="426" t="s">
        <v>451</v>
      </c>
    </row>
    <row r="100" spans="1:4" ht="18" customHeight="1">
      <c r="A100" s="11" t="s">
        <v>89</v>
      </c>
      <c r="B100" s="67">
        <f>IF($B$85&gt;0,'Buffer Budgets'!F4,0)*$B$85+IF($B$86&gt;0,'Buffer Budgets'!F28,0)*$B$86+IF($B$87&gt;0,'Buffer Budgets'!F179,0)*$B$87+IF($B$88&gt;0,'Buffer Budgets'!F53,0)*$B$88+IF($B$89&gt;0,'Buffer Budgets'!F84,0)*$B$89+IF($B$90&gt;0,'Buffer Budgets'!F113,0)*$B$90+IF($B$91&gt;0,'Buffer Budgets'!F142,0)*$B$91</f>
        <v>0</v>
      </c>
      <c r="C100" s="67">
        <f>IF($B$85&gt;0,'Buffer Budgets'!G4,0)*$B$85+IF($B$86&gt;0,'Buffer Budgets'!G28,0)*$B$86+IF($B$87&gt;0,'Buffer Budgets'!G179,0)*$B$87+IF($B$88&gt;0,'Buffer Budgets'!G53,0)*$B$88+IF($B$89&gt;0,'Buffer Budgets'!G84,0)*$B$89+IF($B$90&gt;0,'Buffer Budgets'!G113,0)*$B$90+IF($B$91&gt;0,'Buffer Budgets'!G142,0)*$B$91</f>
        <v>0</v>
      </c>
      <c r="D100" s="289">
        <f>IF(C100&gt;0,C100/$C$110,0)</f>
        <v>0</v>
      </c>
    </row>
    <row r="101" spans="1:4" ht="18" customHeight="1">
      <c r="A101" s="11" t="s">
        <v>423</v>
      </c>
      <c r="B101" s="67">
        <f>IF($B$85&gt;0,'Buffer Budgets'!F5,0)*$B$85+IF($B$86&gt;0,'Buffer Budgets'!F29,0)*$B$86+IF($B$87&gt;0,'Buffer Budgets'!F180,0)*$B$87+IF($B$88&gt;0,'Buffer Budgets'!F54,0)*$B$88+IF($B$89&gt;0,'Buffer Budgets'!F85+'Buffer Budgets'!F86,0)*$B$89+IF($B$90&gt;0,'Buffer Budgets'!F114+'Buffer Budgets'!F115,0)*$B$90+IF($B$91&gt;0,'Buffer Budgets'!F143+'Buffer Budgets'!F144,0)*$B$91</f>
        <v>0</v>
      </c>
      <c r="C101" s="67">
        <f>IF($B$85&gt;0,'Buffer Budgets'!G5,0)*$B$85+IF($B$86&gt;0,'Buffer Budgets'!G29,0)*$B$86+IF($B$87&gt;0,'Buffer Budgets'!G180,0)*$B$87+IF($B$88&gt;0,'Buffer Budgets'!G54,0)*$B$88+IF($B$89&gt;0,'Buffer Budgets'!G85+'Buffer Budgets'!G86,0)*$B$89+IF($B$90&gt;0,'Buffer Budgets'!G114+'Buffer Budgets'!G115,0)*$B$90+IF($B$91&gt;0,'Buffer Budgets'!G143+'Buffer Budgets'!G144,0)*$B$91</f>
        <v>0</v>
      </c>
      <c r="D101" s="289">
        <f aca="true" t="shared" si="1" ref="D101:D109">IF(C101&gt;0,C101/$C$110,0)</f>
        <v>0</v>
      </c>
    </row>
    <row r="102" spans="1:4" ht="18" customHeight="1">
      <c r="A102" s="11" t="s">
        <v>97</v>
      </c>
      <c r="B102" s="67">
        <f>IF($B$85&gt;0,'Buffer Budgets'!F6,0)*$B$85+IF($B$86&gt;0,'Buffer Budgets'!F30,0)*$B$86+IF($B$87&gt;0,'Buffer Budgets'!F181,0)*$B$87+IF($B$88&gt;0,'Buffer Budgets'!F55,0)*$B$88+IF($B$89&gt;0,'Buffer Budgets'!F87,0)*$B$89+IF($B$90&gt;0,'Buffer Budgets'!F116,0)*$B$90+IF($B$91&gt;0,'Buffer Budgets'!F145,0)*$B$91</f>
        <v>0</v>
      </c>
      <c r="C102" s="67">
        <f>IF($B$85&gt;0,'Buffer Budgets'!G6,0)*$B$85+IF($B$86&gt;0,'Buffer Budgets'!G30,0)*$B$86+IF($B$87&gt;0,'Buffer Budgets'!G181,0)*$B$87+IF($B$88&gt;0,'Buffer Budgets'!G55,0)*$B$88+IF($B$89&gt;0,'Buffer Budgets'!G87,0)*$B$89+IF($B$90&gt;0,'Buffer Budgets'!G116,0)*$B$90+IF($B$91&gt;0,'Buffer Budgets'!G145,0)*$B$91</f>
        <v>0</v>
      </c>
      <c r="D102" s="289">
        <f t="shared" si="1"/>
        <v>0</v>
      </c>
    </row>
    <row r="103" spans="1:4" ht="18" customHeight="1">
      <c r="A103" s="11" t="s">
        <v>90</v>
      </c>
      <c r="B103" s="67">
        <f>IF($B$85&gt;0,'Buffer Budgets'!F7,0)*$B$85+IF($B$86&gt;0,'Buffer Budgets'!F31,0)*$B$86+IF($B$87&gt;0,'Buffer Budgets'!F182,0)*$B$87+IF($B$88&gt;0,'Buffer Budgets'!F56,0)*$B$88+IF($B$89&gt;0,'Buffer Budgets'!F88,0)*$B$89+IF($B$90&gt;0,'Buffer Budgets'!F117,0)*$B$90+IF($B$91&gt;0,'Buffer Budgets'!F146,0)*$B$91</f>
        <v>0</v>
      </c>
      <c r="C103" s="67">
        <f>IF($B$85&gt;0,'Buffer Budgets'!G7,0)*$B$85+IF($B$86&gt;0,'Buffer Budgets'!G31,0)*$B$86+IF($B$87&gt;0,'Buffer Budgets'!G182,0)*$B$87+IF($B$88&gt;0,'Buffer Budgets'!G56,0)*$B$88+IF($B$89&gt;0,'Buffer Budgets'!G88,0)*$B$89+IF($B$90&gt;0,'Buffer Budgets'!G117,0)*$B$90+IF($B$91&gt;0,'Buffer Budgets'!G146,0)*$B$91</f>
        <v>0</v>
      </c>
      <c r="D103" s="289">
        <f t="shared" si="1"/>
        <v>0</v>
      </c>
    </row>
    <row r="104" spans="1:4" ht="18" customHeight="1">
      <c r="A104" s="11" t="s">
        <v>424</v>
      </c>
      <c r="B104" s="67">
        <f>IF($B$88&gt;0,'Buffer Budgets'!F57,0)*$B$88</f>
        <v>0</v>
      </c>
      <c r="C104" s="67">
        <f>IF($B$88&gt;0,'Buffer Budgets'!G57,0)*$B$88</f>
        <v>0</v>
      </c>
      <c r="D104" s="289">
        <f t="shared" si="1"/>
        <v>0</v>
      </c>
    </row>
    <row r="105" spans="1:4" ht="18" customHeight="1">
      <c r="A105" s="11" t="s">
        <v>428</v>
      </c>
      <c r="B105" s="67">
        <f>IF($B$87&gt;0,'Buffer Budgets'!F183,0)*$B$87</f>
        <v>0</v>
      </c>
      <c r="C105" s="67">
        <f>IF($B$87&gt;0,'Buffer Budgets'!G183,0)*$B$87</f>
        <v>0</v>
      </c>
      <c r="D105" s="289">
        <f t="shared" si="1"/>
        <v>0</v>
      </c>
    </row>
    <row r="106" spans="1:4" ht="18" customHeight="1">
      <c r="A106" s="11" t="s">
        <v>224</v>
      </c>
      <c r="B106" s="67">
        <f>IF($B$91&gt;0,'Buffer Budgets'!F147,0)*$B$91</f>
        <v>0</v>
      </c>
      <c r="C106" s="67">
        <f>IF($B$91&gt;0,'Buffer Budgets'!G147,0)*$B$91</f>
        <v>0</v>
      </c>
      <c r="D106" s="289">
        <f t="shared" si="1"/>
        <v>0</v>
      </c>
    </row>
    <row r="107" spans="1:4" ht="18" customHeight="1">
      <c r="A107" s="74" t="s">
        <v>91</v>
      </c>
      <c r="B107" s="67">
        <f>IF($B$91&gt;0,'Buffer Budgets'!F148+'Buffer Budgets'!F149,0)*$B$91</f>
        <v>0</v>
      </c>
      <c r="C107" s="67">
        <f>IF($B$91&gt;0,'Buffer Budgets'!G148+'Buffer Budgets'!G149,0)*$B$91</f>
        <v>0</v>
      </c>
      <c r="D107" s="289">
        <f t="shared" si="1"/>
        <v>0</v>
      </c>
    </row>
    <row r="108" spans="1:4" ht="18" customHeight="1">
      <c r="A108" s="179" t="s">
        <v>426</v>
      </c>
      <c r="B108" s="427">
        <v>0</v>
      </c>
      <c r="C108" s="180">
        <f>B108/'Farm &amp; Buffer Assumptions'!C74</f>
        <v>0</v>
      </c>
      <c r="D108" s="289">
        <f t="shared" si="1"/>
        <v>0</v>
      </c>
    </row>
    <row r="109" spans="1:4" ht="18" customHeight="1" thickBot="1">
      <c r="A109" s="278" t="s">
        <v>427</v>
      </c>
      <c r="B109" s="427">
        <v>0</v>
      </c>
      <c r="C109" s="180">
        <f>B109/'Farm &amp; Buffer Assumptions'!C75</f>
        <v>0</v>
      </c>
      <c r="D109" s="290">
        <f t="shared" si="1"/>
        <v>0</v>
      </c>
    </row>
    <row r="110" spans="1:5" ht="18" customHeight="1" thickBot="1">
      <c r="A110" s="181" t="s">
        <v>167</v>
      </c>
      <c r="B110" s="182">
        <f>SUM(B100:B109)</f>
        <v>0</v>
      </c>
      <c r="C110" s="183">
        <f>SUM(C100:C109)</f>
        <v>0</v>
      </c>
      <c r="D110" s="291">
        <f>SUM(D100:D109)</f>
        <v>0</v>
      </c>
      <c r="E110" s="187"/>
    </row>
    <row r="111" ht="21.75" customHeight="1"/>
    <row r="112" ht="21.75" customHeight="1" thickBot="1">
      <c r="A112" s="19" t="s">
        <v>170</v>
      </c>
    </row>
    <row r="113" spans="1:4" ht="26.25" customHeight="1" thickBot="1">
      <c r="A113" s="428" t="s">
        <v>438</v>
      </c>
      <c r="B113" s="425" t="s">
        <v>14</v>
      </c>
      <c r="C113" s="425" t="s">
        <v>231</v>
      </c>
      <c r="D113" s="425" t="s">
        <v>452</v>
      </c>
    </row>
    <row r="114" spans="1:4" ht="18" customHeight="1">
      <c r="A114" s="74" t="s">
        <v>218</v>
      </c>
      <c r="B114" s="484">
        <f>IF(B85&gt;0,'Buffer Budgets'!F11,0)*B85</f>
        <v>0</v>
      </c>
      <c r="C114" s="484">
        <f>IF(B85&gt;0,'Buffer Budgets'!G11,0)*B85</f>
        <v>0</v>
      </c>
      <c r="D114" s="289">
        <f>IF(C114&gt;0,C114/$C$143,0)</f>
        <v>0</v>
      </c>
    </row>
    <row r="115" spans="1:4" ht="18" customHeight="1">
      <c r="A115" s="13" t="s">
        <v>94</v>
      </c>
      <c r="B115" s="67">
        <f>IF($B$86&gt;0,'Buffer Budgets'!F35,0)*$B$86+IF($B$87&gt;0,'Buffer Budgets'!F187,0)*$B$87+IF($B$88&gt;0,'Buffer Budgets'!F61,0)*$B$88+IF($B$89&gt;0,'Buffer Budgets'!F92,0)*$B$89+IF($B$90&gt;0,'Buffer Budgets'!F121,0)*$B$90+IF($B$91&gt;0,'Buffer Budgets'!F153,0)*$B$91</f>
        <v>12683.654729109274</v>
      </c>
      <c r="C115" s="67">
        <f>IF($B$86&gt;0,'Buffer Budgets'!G35,0)*$B$86+IF($B$87&gt;0,'Buffer Budgets'!G187,0)*$B$87+IF($B$88&gt;0,'Buffer Budgets'!G61,0)*$B$88+IF($B$89&gt;0,'Buffer Budgets'!G92,0)*$B$89+IF($B$90&gt;0,'Buffer Budgets'!G121,0)*$B$90+IF($B$91&gt;0,'Buffer Budgets'!G153,0)*$B$91</f>
        <v>12683.654729109274</v>
      </c>
      <c r="D115" s="289">
        <f aca="true" t="shared" si="2" ref="D115:D125">IF(C115&gt;0,C115/$C$143,0)</f>
        <v>0.19031308620153273</v>
      </c>
    </row>
    <row r="116" spans="1:4" ht="18" customHeight="1">
      <c r="A116" s="13" t="s">
        <v>430</v>
      </c>
      <c r="B116" s="67">
        <f>IF(B88&gt;0,'Buffer Budgets'!F62,0)*B88+IF($B$87&gt;0,'Buffer Budgets'!F188,0)*$B$87</f>
        <v>0</v>
      </c>
      <c r="C116" s="67">
        <f>IF(B88&gt;0,'Buffer Budgets'!G62,0)*B88+IF(B87&gt;0,'Buffer Budgets'!G188,0)*B87</f>
        <v>0</v>
      </c>
      <c r="D116" s="289">
        <f t="shared" si="2"/>
        <v>0</v>
      </c>
    </row>
    <row r="117" spans="1:4" ht="18" customHeight="1">
      <c r="A117" s="74" t="s">
        <v>219</v>
      </c>
      <c r="B117" s="67">
        <f>IF($B$86&gt;0,'Buffer Budgets'!F36,0)*$B$86</f>
        <v>0</v>
      </c>
      <c r="C117" s="67">
        <f>IF(B86&gt;0,'Buffer Budgets'!G36,0)*B86</f>
        <v>0</v>
      </c>
      <c r="D117" s="289">
        <f t="shared" si="2"/>
        <v>0</v>
      </c>
    </row>
    <row r="118" spans="1:4" ht="18" customHeight="1">
      <c r="A118" s="74" t="s">
        <v>434</v>
      </c>
      <c r="B118" s="67">
        <f>IF($B$88&gt;0,'Buffer Budgets'!F64,0)*$B$88+IF($B$87&gt;0,'Buffer Budgets'!F190,0)*$B$87</f>
        <v>0</v>
      </c>
      <c r="C118" s="67">
        <f>IF(C88&gt;0,'Buffer Budgets'!G64,0)*C88+IF($B$87&gt;0,'Buffer Budgets'!G190,0)*$B$87</f>
        <v>0</v>
      </c>
      <c r="D118" s="289">
        <f t="shared" si="2"/>
        <v>0</v>
      </c>
    </row>
    <row r="119" spans="1:4" ht="18" customHeight="1">
      <c r="A119" s="74" t="s">
        <v>429</v>
      </c>
      <c r="B119" s="67">
        <f>IF($B$88&gt;0,'Buffer Budgets'!F63,0)*$B$88+IF($B$87&gt;0,'Buffer Budgets'!F189,0)*$B$87</f>
        <v>0</v>
      </c>
      <c r="C119" s="67">
        <f>IF($B$88&gt;0,'Buffer Budgets'!G63,0)*$B$88+IF($B$87&gt;0,'Buffer Budgets'!G189,0)*$B$87</f>
        <v>0</v>
      </c>
      <c r="D119" s="289">
        <f t="shared" si="2"/>
        <v>0</v>
      </c>
    </row>
    <row r="120" spans="1:4" ht="18" customHeight="1">
      <c r="A120" s="11" t="s">
        <v>92</v>
      </c>
      <c r="B120" s="67">
        <f>IF($B$89&gt;0,'Buffer Budgets'!F93,0)*$B$89+IF($B$90&gt;0,'Buffer Budgets'!F122,0)*$B$90+IF($B$91&gt;0,'Buffer Budgets'!F154,0)*$B$91</f>
        <v>14175.849403122129</v>
      </c>
      <c r="C120" s="67">
        <f>IF($B$89&gt;0,'Buffer Budgets'!G93,0)*$B$89+IF($B$90&gt;0,'Buffer Budgets'!G122,0)*$B$90+IF($B$91&gt;0,'Buffer Budgets'!G154,0)*$B$91</f>
        <v>14175.849403122129</v>
      </c>
      <c r="D120" s="289">
        <f t="shared" si="2"/>
        <v>0.21270286104877184</v>
      </c>
    </row>
    <row r="121" spans="1:4" ht="18" customHeight="1">
      <c r="A121" s="11" t="s">
        <v>220</v>
      </c>
      <c r="B121" s="67">
        <f>IF($B$89&gt;0,'Buffer Budgets'!F94,0)*$B$89+IF($B$90&gt;0,'Buffer Budgets'!F123,0)*$B$90+IF($B$91&gt;0,'Buffer Budgets'!F155,0)*$B$91</f>
        <v>8475.665748393021</v>
      </c>
      <c r="C121" s="67">
        <f>IF($B$89&gt;0,'Buffer Budgets'!G94,0)*$B$89+IF($B$90&gt;0,'Buffer Budgets'!G123,0)*$B$90+IF($B$91&gt;0,'Buffer Budgets'!G155,0)*$B$91</f>
        <v>8475.665748393021</v>
      </c>
      <c r="D121" s="289">
        <f t="shared" si="2"/>
        <v>0.12717392113231835</v>
      </c>
    </row>
    <row r="122" spans="1:4" ht="18" customHeight="1">
      <c r="A122" s="11" t="s">
        <v>617</v>
      </c>
      <c r="B122" s="67">
        <f>IF($B$89&gt;0,'Buffer Budgets'!F99,0)*$B$89+IF($B$90&gt;0,'Buffer Budgets'!F128,0)*$B$90+IF($B$91&gt;0,'Buffer Budgets'!F160,0)*$B$91</f>
        <v>1417.584940312213</v>
      </c>
      <c r="C122" s="67">
        <f>IF($B$89&gt;0,'Buffer Budgets'!G99,0)*$B$89+IF($B$90&gt;0,'Buffer Budgets'!G128,0)*$B$90+IF($B$91&gt;0,'Buffer Budgets'!G160,0)*$B$91</f>
        <v>1310.6369640460548</v>
      </c>
      <c r="D122" s="289">
        <f t="shared" si="2"/>
        <v>0.019665575170929348</v>
      </c>
    </row>
    <row r="123" spans="1:4" ht="18" customHeight="1">
      <c r="A123" s="11" t="s">
        <v>95</v>
      </c>
      <c r="B123" s="67">
        <f>C15*C16</f>
        <v>3000</v>
      </c>
      <c r="C123" s="67">
        <f>B123</f>
        <v>3000</v>
      </c>
      <c r="D123" s="289">
        <f t="shared" si="2"/>
        <v>0.04501378118518787</v>
      </c>
    </row>
    <row r="124" spans="1:4" ht="18" customHeight="1">
      <c r="A124" s="13" t="s">
        <v>96</v>
      </c>
      <c r="B124" s="413">
        <v>0</v>
      </c>
      <c r="C124" s="67">
        <f>B124</f>
        <v>0</v>
      </c>
      <c r="D124" s="289">
        <f t="shared" si="2"/>
        <v>0</v>
      </c>
    </row>
    <row r="125" spans="1:5" ht="18" customHeight="1">
      <c r="A125" s="13" t="s">
        <v>217</v>
      </c>
      <c r="B125" s="413">
        <v>0</v>
      </c>
      <c r="C125" s="67">
        <f>B125</f>
        <v>0</v>
      </c>
      <c r="D125" s="289">
        <f t="shared" si="2"/>
        <v>0</v>
      </c>
      <c r="E125" s="288">
        <f>SUM(D114:D125)</f>
        <v>0.5948692247387402</v>
      </c>
    </row>
    <row r="126" spans="1:4" ht="18" customHeight="1" thickBot="1">
      <c r="A126" s="9"/>
      <c r="B126" s="178"/>
      <c r="C126" s="156"/>
      <c r="D126" s="288"/>
    </row>
    <row r="127" spans="1:4" ht="23.25" customHeight="1" thickBot="1">
      <c r="A127" s="428" t="s">
        <v>100</v>
      </c>
      <c r="B127" s="425" t="s">
        <v>14</v>
      </c>
      <c r="C127" s="425" t="s">
        <v>231</v>
      </c>
      <c r="D127" s="425" t="s">
        <v>452</v>
      </c>
    </row>
    <row r="128" spans="1:4" ht="18" customHeight="1">
      <c r="A128" s="11" t="s">
        <v>171</v>
      </c>
      <c r="B128" s="67">
        <f>IF($B$86&gt;0,'Buffer Budgets'!F40,0)*$B$86</f>
        <v>0</v>
      </c>
      <c r="C128" s="67">
        <f>IF($B$86&gt;0,'Buffer Budgets'!G40,0)*$B$86</f>
        <v>0</v>
      </c>
      <c r="D128" s="289">
        <f aca="true" t="shared" si="3" ref="D128:D142">IF(C128&gt;0,C128/$C$143,0)</f>
        <v>0</v>
      </c>
    </row>
    <row r="129" spans="1:4" ht="18" customHeight="1">
      <c r="A129" s="11" t="s">
        <v>221</v>
      </c>
      <c r="B129" s="67">
        <f>IF($B$85&gt;0,'Buffer Budgets'!F15,0)*$B$85+IF($B$89&gt;0,'Buffer Budgets'!F98,0)*$B$89+IF($B$90&gt;0,'Buffer Budgets'!F127,0)*$B$90+IF($B$91&gt;0,'Buffer Budgets'!F159,0)*$B$91</f>
        <v>5222.681359044996</v>
      </c>
      <c r="C129" s="67">
        <f>IF($B$85&gt;0,'Buffer Budgets'!G15,0)*$B$85+IF($B$89&gt;0,'Buffer Budgets'!G98,0)*$B$89+IF($B$90&gt;0,'Buffer Budgets'!G127,0)*$B$90+IF($B$91&gt;0,'Buffer Budgets'!G159,0)*$B$91</f>
        <v>23250.449501978605</v>
      </c>
      <c r="D129" s="289">
        <f t="shared" si="3"/>
        <v>0.34886354877977505</v>
      </c>
    </row>
    <row r="130" spans="1:4" ht="18" customHeight="1">
      <c r="A130" s="11" t="s">
        <v>429</v>
      </c>
      <c r="B130" s="67">
        <f>IF($B$88&gt;0,'Buffer Budgets'!F71,0)*$B$88+IF($B$87&gt;0,'Buffer Budgets'!F197,0)*$B$87</f>
        <v>0</v>
      </c>
      <c r="C130" s="67">
        <f>IF($B$88&gt;0,'Buffer Budgets'!G71,0)*$B$88+IF($B$87&gt;0,'Buffer Budgets'!G197,0)*$B$87</f>
        <v>0</v>
      </c>
      <c r="D130" s="289">
        <f t="shared" si="3"/>
        <v>0</v>
      </c>
    </row>
    <row r="131" spans="1:4" ht="18" customHeight="1">
      <c r="A131" s="11" t="s">
        <v>431</v>
      </c>
      <c r="B131" s="67">
        <f>IF($B$88&gt;0,'Buffer Budgets'!F70,0)*$B$88+IF($B$87&gt;0,'Buffer Budgets'!F196,0)*$B$87</f>
        <v>0</v>
      </c>
      <c r="C131" s="67">
        <f>IF($B$88&gt;0,'Buffer Budgets'!G70,0)*$B$88+IF($B$87&gt;0,'Buffer Budgets'!G196,0)*$B$87</f>
        <v>0</v>
      </c>
      <c r="D131" s="289">
        <f t="shared" si="3"/>
        <v>0</v>
      </c>
    </row>
    <row r="132" spans="1:4" ht="18" customHeight="1">
      <c r="A132" s="11" t="s">
        <v>93</v>
      </c>
      <c r="B132" s="67">
        <f>IF($B$88&gt;0,'Buffer Budgets'!F68,0)*$B$88+IF($B$87&gt;0,'Buffer Budgets'!F194,0)*$B$87</f>
        <v>0</v>
      </c>
      <c r="C132" s="67">
        <f>IF($B$88&gt;0,'Buffer Budgets'!G68,0)*$B$88+IF($B$87&gt;0,'Buffer Budgets'!G194,0)*$B$87</f>
        <v>0</v>
      </c>
      <c r="D132" s="289">
        <f t="shared" si="3"/>
        <v>0</v>
      </c>
    </row>
    <row r="133" spans="1:6" ht="18" customHeight="1">
      <c r="A133" s="11" t="s">
        <v>433</v>
      </c>
      <c r="B133" s="67">
        <f>0.05*B123</f>
        <v>150</v>
      </c>
      <c r="C133" s="67">
        <f>B133/'Farm &amp; Buffer Assumptions'!C74</f>
        <v>3750</v>
      </c>
      <c r="D133" s="289">
        <f t="shared" si="3"/>
        <v>0.056267226481484835</v>
      </c>
      <c r="F133" s="288">
        <f>D133+D123</f>
        <v>0.1012810076666727</v>
      </c>
    </row>
    <row r="134" spans="1:4" ht="18" customHeight="1">
      <c r="A134" s="11" t="s">
        <v>174</v>
      </c>
      <c r="B134" s="67">
        <f>IF($B$91&gt;0,'Buffer Budgets'!F161,0)*$B$91</f>
        <v>0</v>
      </c>
      <c r="C134" s="67">
        <f>IF($B$91&gt;0,'Buffer Budgets'!G161,0)*$B$91</f>
        <v>0</v>
      </c>
      <c r="D134" s="289">
        <f t="shared" si="3"/>
        <v>0</v>
      </c>
    </row>
    <row r="135" spans="1:4" ht="18" customHeight="1">
      <c r="A135" s="11" t="s">
        <v>172</v>
      </c>
      <c r="B135" s="67">
        <f>IF($B$91&gt;0,'Buffer Budgets'!F162,0)*$B$91</f>
        <v>0</v>
      </c>
      <c r="C135" s="67">
        <f>IF($B$91&gt;0,'Buffer Budgets'!G162,0)*$B$91</f>
        <v>0</v>
      </c>
      <c r="D135" s="289">
        <f t="shared" si="3"/>
        <v>0</v>
      </c>
    </row>
    <row r="136" spans="1:4" ht="18" customHeight="1">
      <c r="A136" s="11" t="s">
        <v>173</v>
      </c>
      <c r="B136" s="67">
        <f>IF($B$91&gt;0,'Buffer Budgets'!F163,0)*$B$91</f>
        <v>0</v>
      </c>
      <c r="C136" s="67">
        <f>IF($B$91&gt;0,'Buffer Budgets'!G163,0)*$B$91</f>
        <v>0</v>
      </c>
      <c r="D136" s="289">
        <f t="shared" si="3"/>
        <v>0</v>
      </c>
    </row>
    <row r="137" spans="1:4" ht="18" customHeight="1">
      <c r="A137" s="11" t="s">
        <v>432</v>
      </c>
      <c r="B137" s="67">
        <f>IF($B$88&gt;0,'Buffer Budgets'!F69,0)*$B$88+IF($B$87&gt;0,'Buffer Budgets'!F195,0)*$B$87+IF($B$91&gt;0,'Buffer Budgets'!F164+'Buffer Budgets'!#REF!,0)*$B$91</f>
        <v>0</v>
      </c>
      <c r="C137" s="67">
        <f>IF($B$88&gt;0,'Buffer Budgets'!G69,0)*$B$88+IF($B$87&gt;0,'Buffer Budgets'!G195,0)*$B$87+IF($B$91&gt;0,'Buffer Budgets'!G164+'Buffer Budgets'!#REF!,0)*$B$91</f>
        <v>0</v>
      </c>
      <c r="D137" s="289">
        <f t="shared" si="3"/>
        <v>0</v>
      </c>
    </row>
    <row r="138" spans="1:4" ht="18" customHeight="1">
      <c r="A138" s="11" t="s">
        <v>435</v>
      </c>
      <c r="B138" s="67">
        <f>IF($B$91&gt;0,'Buffer Budgets'!F165,0)*$B$91</f>
        <v>0</v>
      </c>
      <c r="C138" s="67">
        <f>IF($B$91&gt;0,'Buffer Budgets'!G165,0)*$B$91</f>
        <v>0</v>
      </c>
      <c r="D138" s="289">
        <f t="shared" si="3"/>
        <v>0</v>
      </c>
    </row>
    <row r="139" spans="1:4" ht="27.75" customHeight="1">
      <c r="A139" s="129" t="s">
        <v>728</v>
      </c>
      <c r="B139" s="67">
        <f>IF('Budget w.o. buffer'!E63&gt;0,B92*'Budget w.o. buffer'!E63,0)</f>
        <v>0</v>
      </c>
      <c r="C139" s="67">
        <f>B139/'Farm &amp; Buffer Assumptions'!C74</f>
        <v>0</v>
      </c>
      <c r="D139" s="289">
        <f t="shared" si="3"/>
        <v>0</v>
      </c>
    </row>
    <row r="140" spans="1:4" ht="18" customHeight="1">
      <c r="A140" s="46" t="s">
        <v>729</v>
      </c>
      <c r="B140" s="413">
        <v>0</v>
      </c>
      <c r="C140" s="67">
        <f>B140/'Farm &amp; Buffer Assumptions'!C74</f>
        <v>0</v>
      </c>
      <c r="D140" s="289">
        <f t="shared" si="3"/>
        <v>0</v>
      </c>
    </row>
    <row r="141" spans="1:4" ht="18" customHeight="1">
      <c r="A141" s="46" t="s">
        <v>725</v>
      </c>
      <c r="B141" s="709">
        <v>0</v>
      </c>
      <c r="C141" s="488">
        <f>B141/'Farm &amp; Buffer Assumptions'!C74</f>
        <v>0</v>
      </c>
      <c r="D141" s="289">
        <f t="shared" si="3"/>
        <v>0</v>
      </c>
    </row>
    <row r="142" spans="1:6" ht="18" customHeight="1" thickBot="1">
      <c r="A142" s="184" t="s">
        <v>217</v>
      </c>
      <c r="B142" s="427">
        <v>0</v>
      </c>
      <c r="C142" s="180">
        <f>B142/'Farm &amp; Buffer Assumptions'!C74</f>
        <v>0</v>
      </c>
      <c r="D142" s="289">
        <f t="shared" si="3"/>
        <v>0</v>
      </c>
      <c r="E142" s="187"/>
      <c r="F142" s="288"/>
    </row>
    <row r="143" spans="1:4" ht="26.25" customHeight="1" thickBot="1">
      <c r="A143" s="429" t="s">
        <v>169</v>
      </c>
      <c r="B143" s="430"/>
      <c r="C143" s="430">
        <f>SUM(C114:C142)</f>
        <v>66646.25634664908</v>
      </c>
      <c r="D143" s="625">
        <f>SUM(D114:D142)</f>
        <v>1</v>
      </c>
    </row>
    <row r="144" spans="1:3" ht="26.25" customHeight="1">
      <c r="A144" s="431" t="s">
        <v>175</v>
      </c>
      <c r="B144" s="432"/>
      <c r="C144" s="432">
        <f>C110-C143</f>
        <v>-66646.25634664908</v>
      </c>
    </row>
    <row r="145" spans="1:3" ht="21" customHeight="1">
      <c r="A145" s="431" t="s">
        <v>632</v>
      </c>
      <c r="B145" s="432"/>
      <c r="C145" s="432">
        <f>C144/B97</f>
        <v>-4466.324502246206</v>
      </c>
    </row>
    <row r="146" spans="1:3" ht="48" customHeight="1">
      <c r="A146" s="185"/>
      <c r="B146" s="186"/>
      <c r="C146" s="186"/>
    </row>
    <row r="147" spans="1:3" ht="29.25" customHeight="1" thickBot="1">
      <c r="A147" s="749" t="s">
        <v>619</v>
      </c>
      <c r="B147" s="750"/>
      <c r="C147" s="750"/>
    </row>
    <row r="148" spans="1:3" ht="28.5" customHeight="1" thickBot="1">
      <c r="A148" s="435" t="s">
        <v>440</v>
      </c>
      <c r="B148" s="434" t="s">
        <v>18</v>
      </c>
      <c r="C148" s="433" t="s">
        <v>618</v>
      </c>
    </row>
    <row r="149" spans="1:3" ht="18" customHeight="1">
      <c r="A149" s="440" t="s">
        <v>225</v>
      </c>
      <c r="B149" s="441">
        <f>PMT('Farm &amp; Buffer Assumptions'!C74,10,-C110)</f>
        <v>0</v>
      </c>
      <c r="C149" s="446"/>
    </row>
    <row r="150" spans="1:3" ht="18" customHeight="1">
      <c r="A150" s="442" t="s">
        <v>226</v>
      </c>
      <c r="B150" s="443">
        <f>PMT('Farm &amp; Buffer Assumptions'!C74,10,-C143)</f>
        <v>8216.879881046712</v>
      </c>
      <c r="C150" s="438"/>
    </row>
    <row r="151" spans="1:3" ht="29.25" customHeight="1" thickBot="1">
      <c r="A151" s="444" t="s">
        <v>227</v>
      </c>
      <c r="B151" s="445">
        <f>B149-B150</f>
        <v>-8216.879881046712</v>
      </c>
      <c r="C151" s="447">
        <f>B151/$B$97</f>
        <v>-550.6573655667612</v>
      </c>
    </row>
    <row r="152" spans="1:3" ht="23.25" customHeight="1" thickBot="1">
      <c r="A152" s="436" t="s">
        <v>228</v>
      </c>
      <c r="B152" s="434" t="s">
        <v>18</v>
      </c>
      <c r="C152" s="433" t="s">
        <v>618</v>
      </c>
    </row>
    <row r="153" spans="1:3" ht="18.75" customHeight="1">
      <c r="A153" s="440" t="s">
        <v>225</v>
      </c>
      <c r="B153" s="441">
        <f>PMT('Farm &amp; Buffer Assumptions'!C74,15,-C110)</f>
        <v>0</v>
      </c>
      <c r="C153" s="446"/>
    </row>
    <row r="154" spans="1:3" ht="18.75" customHeight="1">
      <c r="A154" s="442" t="s">
        <v>226</v>
      </c>
      <c r="B154" s="443">
        <f>PMT('Farm &amp; Buffer Assumptions'!C74,15,-C143)</f>
        <v>5994.237631423571</v>
      </c>
      <c r="C154" s="438"/>
    </row>
    <row r="155" spans="1:3" ht="29.25" customHeight="1" thickBot="1">
      <c r="A155" s="444" t="s">
        <v>227</v>
      </c>
      <c r="B155" s="445">
        <f>B153-B154</f>
        <v>-5994.237631423571</v>
      </c>
      <c r="C155" s="447">
        <f>B155/$B$97</f>
        <v>-401.7061403458627</v>
      </c>
    </row>
    <row r="156" spans="1:3" ht="24.75" customHeight="1" thickBot="1">
      <c r="A156" s="436" t="s">
        <v>229</v>
      </c>
      <c r="B156" s="434" t="s">
        <v>18</v>
      </c>
      <c r="C156" s="433" t="s">
        <v>618</v>
      </c>
    </row>
    <row r="157" spans="1:3" ht="18.75" customHeight="1">
      <c r="A157" s="440" t="s">
        <v>225</v>
      </c>
      <c r="B157" s="441">
        <f>PMT('Farm &amp; Buffer Assumptions'!C74,25,-C110)</f>
        <v>0</v>
      </c>
      <c r="C157" s="446"/>
    </row>
    <row r="158" spans="1:3" ht="18.75" customHeight="1">
      <c r="A158" s="442" t="s">
        <v>226</v>
      </c>
      <c r="B158" s="443">
        <f>PMT('Farm &amp; Buffer Assumptions'!C74,25,-C143)</f>
        <v>4266.157681118213</v>
      </c>
      <c r="C158" s="438"/>
    </row>
    <row r="159" spans="1:3" ht="29.25" customHeight="1" thickBot="1">
      <c r="A159" s="444" t="s">
        <v>227</v>
      </c>
      <c r="B159" s="445">
        <f>B157-B158</f>
        <v>-4266.157681118213</v>
      </c>
      <c r="C159" s="447">
        <f>B159/$B$97</f>
        <v>-285.8981978300144</v>
      </c>
    </row>
    <row r="160" spans="1:3" ht="24.75" customHeight="1" thickBot="1">
      <c r="A160" s="436" t="s">
        <v>230</v>
      </c>
      <c r="B160" s="434" t="s">
        <v>18</v>
      </c>
      <c r="C160" s="433" t="s">
        <v>618</v>
      </c>
    </row>
    <row r="161" spans="1:3" ht="18.75" customHeight="1">
      <c r="A161" s="440" t="s">
        <v>225</v>
      </c>
      <c r="B161" s="441">
        <f>PMT('Farm &amp; Buffer Assumptions'!C74,50,-C110)</f>
        <v>0</v>
      </c>
      <c r="C161" s="437"/>
    </row>
    <row r="162" spans="1:3" ht="18.75" customHeight="1">
      <c r="A162" s="442" t="s">
        <v>226</v>
      </c>
      <c r="B162" s="443">
        <f>PMT('Farm &amp; Buffer Assumptions'!C74,50,-C143)</f>
        <v>3102.3965921480435</v>
      </c>
      <c r="C162" s="438"/>
    </row>
    <row r="163" spans="1:3" ht="13.5" thickBot="1">
      <c r="A163" s="444" t="s">
        <v>227</v>
      </c>
      <c r="B163" s="445">
        <f>C144/((1-1/(1+'Farm &amp; Buffer Assumptions'!C74)^50)/'Farm &amp; Buffer Assumptions'!C74)</f>
        <v>-3102.396592148044</v>
      </c>
      <c r="C163" s="439">
        <f>B163/$B$97</f>
        <v>-207.90830085225969</v>
      </c>
    </row>
    <row r="164" ht="20.25" customHeight="1"/>
  </sheetData>
  <mergeCells count="2">
    <mergeCell ref="A2:C3"/>
    <mergeCell ref="A147:C147"/>
  </mergeCells>
  <printOptions/>
  <pageMargins left="0.5" right="0.5" top="0.55" bottom="0.55" header="0.34" footer="0.45"/>
  <pageSetup fitToHeight="4" orientation="portrait" scale="71" r:id="rId3"/>
  <headerFooter alignWithMargins="0">
    <oddHeader>&amp;L&amp;8File: &amp;F, &amp;A&amp;R&amp;8&amp;D, &amp;T</oddHeader>
    <oddFooter>&amp;L&amp;8Prepared by:
Resource Consulting&amp;10
</oddFooter>
  </headerFooter>
  <rowBreaks count="3" manualBreakCount="3">
    <brk id="60" max="3" man="1"/>
    <brk id="95" max="3" man="1"/>
    <brk id="145" max="3" man="1"/>
  </rowBreaks>
  <legacyDrawing r:id="rId2"/>
</worksheet>
</file>

<file path=xl/worksheets/sheet9.xml><?xml version="1.0" encoding="utf-8"?>
<worksheet xmlns="http://schemas.openxmlformats.org/spreadsheetml/2006/main" xmlns:r="http://schemas.openxmlformats.org/officeDocument/2006/relationships">
  <sheetPr codeName="Sheet9"/>
  <dimension ref="A1:J64"/>
  <sheetViews>
    <sheetView showGridLines="0" workbookViewId="0" topLeftCell="A1">
      <selection activeCell="A1" sqref="A1:F1"/>
    </sheetView>
  </sheetViews>
  <sheetFormatPr defaultColWidth="9.140625" defaultRowHeight="12.75"/>
  <cols>
    <col min="1" max="1" width="36.00390625" style="0" customWidth="1"/>
    <col min="2" max="6" width="10.7109375" style="0" customWidth="1"/>
    <col min="7" max="7" width="9.421875" style="0" bestFit="1" customWidth="1"/>
    <col min="9" max="9" width="9.28125" style="0" bestFit="1" customWidth="1"/>
  </cols>
  <sheetData>
    <row r="1" spans="1:6" ht="42.75" customHeight="1">
      <c r="A1" s="745" t="s">
        <v>744</v>
      </c>
      <c r="B1" s="746"/>
      <c r="C1" s="746"/>
      <c r="D1" s="746"/>
      <c r="E1" s="746"/>
      <c r="F1" s="746"/>
    </row>
    <row r="2" spans="1:6" ht="21" customHeight="1" thickBot="1">
      <c r="A2" s="4" t="s">
        <v>101</v>
      </c>
      <c r="B2" s="4">
        <f>'Farm &amp; Buffer Assumptions'!C3</f>
        <v>100</v>
      </c>
      <c r="C2" s="14"/>
      <c r="D2" s="14"/>
      <c r="E2" s="37"/>
      <c r="F2" s="14"/>
    </row>
    <row r="3" spans="1:6" ht="27" customHeight="1" thickBot="1">
      <c r="A3" s="1"/>
      <c r="B3" s="23" t="s">
        <v>0</v>
      </c>
      <c r="C3" s="24" t="s">
        <v>11</v>
      </c>
      <c r="D3" s="24" t="s">
        <v>22</v>
      </c>
      <c r="E3" s="90" t="s">
        <v>18</v>
      </c>
      <c r="F3" s="90" t="s">
        <v>511</v>
      </c>
    </row>
    <row r="4" spans="1:6" ht="18.75" customHeight="1">
      <c r="A4" s="98" t="s">
        <v>34</v>
      </c>
      <c r="B4" s="99"/>
      <c r="C4" s="100"/>
      <c r="D4" s="101"/>
      <c r="E4" s="102"/>
      <c r="F4" s="100"/>
    </row>
    <row r="5" spans="1:7" ht="15" customHeight="1">
      <c r="A5" s="46" t="s">
        <v>453</v>
      </c>
      <c r="B5" s="27" t="s">
        <v>12</v>
      </c>
      <c r="C5" s="316">
        <f>Prices!C14</f>
        <v>90</v>
      </c>
      <c r="D5" s="28">
        <f>'Livestock Receipts &amp; Feed Req.'!E3*'Livestock Receipts &amp; Feed Req.'!C3</f>
        <v>247.5</v>
      </c>
      <c r="E5" s="93">
        <f aca="true" t="shared" si="0" ref="E5:E10">C5*D5</f>
        <v>22275</v>
      </c>
      <c r="F5" s="93">
        <f aca="true" t="shared" si="1" ref="F5:F10">E5/$B$2</f>
        <v>222.75</v>
      </c>
      <c r="G5" s="369">
        <f>E5/$E$12</f>
        <v>0.5188470884607382</v>
      </c>
    </row>
    <row r="6" spans="1:7" ht="15" customHeight="1">
      <c r="A6" s="46" t="s">
        <v>454</v>
      </c>
      <c r="B6" s="27" t="s">
        <v>12</v>
      </c>
      <c r="C6" s="316">
        <f>Prices!C15</f>
        <v>82</v>
      </c>
      <c r="D6" s="28">
        <f>'Livestock Receipts &amp; Feed Req.'!E4*'Livestock Receipts &amp; Feed Req.'!C4</f>
        <v>107.99999999999999</v>
      </c>
      <c r="E6" s="93">
        <f t="shared" si="0"/>
        <v>8855.999999999998</v>
      </c>
      <c r="F6" s="93">
        <f t="shared" si="1"/>
        <v>88.55999999999999</v>
      </c>
      <c r="G6" s="369">
        <f aca="true" t="shared" si="2" ref="G6:G12">E6/$E$12</f>
        <v>0.20628102426075406</v>
      </c>
    </row>
    <row r="7" spans="1:7" ht="15" customHeight="1">
      <c r="A7" s="129" t="s">
        <v>455</v>
      </c>
      <c r="B7" s="27" t="s">
        <v>12</v>
      </c>
      <c r="C7" s="316">
        <f>Prices!C16</f>
        <v>48</v>
      </c>
      <c r="D7" s="28">
        <f>'Livestock Receipts &amp; Feed Req.'!E5*'Livestock Receipts &amp; Feed Req.'!C5</f>
        <v>12.375</v>
      </c>
      <c r="E7" s="93">
        <f t="shared" si="0"/>
        <v>594</v>
      </c>
      <c r="F7" s="93">
        <f t="shared" si="1"/>
        <v>5.94</v>
      </c>
      <c r="G7" s="369">
        <f t="shared" si="2"/>
        <v>0.01383592235895302</v>
      </c>
    </row>
    <row r="8" spans="1:7" ht="15" customHeight="1">
      <c r="A8" s="46" t="s">
        <v>456</v>
      </c>
      <c r="B8" s="27" t="s">
        <v>12</v>
      </c>
      <c r="C8" s="316">
        <f>Prices!C17</f>
        <v>43</v>
      </c>
      <c r="D8" s="28">
        <f>'Livestock Receipts &amp; Feed Req.'!E6*'Livestock Receipts &amp; Feed Req.'!C6</f>
        <v>209</v>
      </c>
      <c r="E8" s="93">
        <f t="shared" si="0"/>
        <v>8987</v>
      </c>
      <c r="F8" s="93">
        <f t="shared" si="1"/>
        <v>89.87</v>
      </c>
      <c r="G8" s="369">
        <f t="shared" si="2"/>
        <v>0.20933238087527067</v>
      </c>
    </row>
    <row r="9" spans="1:7" ht="15" customHeight="1">
      <c r="A9" s="46" t="s">
        <v>457</v>
      </c>
      <c r="B9" s="27"/>
      <c r="C9" s="316">
        <f>Prices!C18</f>
        <v>62</v>
      </c>
      <c r="D9" s="28">
        <f>'Livestock Receipts &amp; Feed Req.'!E7*'Livestock Receipts &amp; Feed Req.'!C7</f>
        <v>35.80200000000001</v>
      </c>
      <c r="E9" s="93">
        <f t="shared" si="0"/>
        <v>2219.7240000000006</v>
      </c>
      <c r="F9" s="93">
        <f t="shared" si="1"/>
        <v>22.197240000000008</v>
      </c>
      <c r="G9" s="369">
        <f t="shared" si="2"/>
        <v>0.05170358404428391</v>
      </c>
    </row>
    <row r="10" spans="1:7" ht="15" customHeight="1">
      <c r="A10" s="27" t="s">
        <v>461</v>
      </c>
      <c r="B10" s="304"/>
      <c r="C10" s="317"/>
      <c r="D10" s="203"/>
      <c r="E10" s="93">
        <f t="shared" si="0"/>
        <v>0</v>
      </c>
      <c r="F10" s="93">
        <f t="shared" si="1"/>
        <v>0</v>
      </c>
      <c r="G10" s="369">
        <f t="shared" si="2"/>
        <v>0</v>
      </c>
    </row>
    <row r="11" spans="1:8" ht="24" customHeight="1">
      <c r="A11" s="471" t="s">
        <v>624</v>
      </c>
      <c r="B11" s="27"/>
      <c r="C11" s="28"/>
      <c r="D11" s="28"/>
      <c r="E11" s="472">
        <f>IF('Farm &amp; Buffer Assumptions'!C85=10,'Buffer Builder'!B149,IF('Farm &amp; Buffer Assumptions'!C85=15,'Buffer Builder'!B153,IF('Farm &amp; Buffer Assumptions'!C85=25,'Buffer Builder'!B157,IF('Farm &amp; Buffer Assumptions'!C85=50,'Buffer Builder'!B161,0))))</f>
        <v>0</v>
      </c>
      <c r="F11" s="472">
        <f>E11/B2</f>
        <v>0</v>
      </c>
      <c r="G11" s="369">
        <f t="shared" si="2"/>
        <v>0</v>
      </c>
      <c r="H11" s="272"/>
    </row>
    <row r="12" spans="1:9" ht="20.25" customHeight="1" thickBot="1">
      <c r="A12" s="450" t="s">
        <v>35</v>
      </c>
      <c r="B12" s="450"/>
      <c r="C12" s="451"/>
      <c r="D12" s="452"/>
      <c r="E12" s="452">
        <f>SUM(E5:E11)</f>
        <v>42931.724</v>
      </c>
      <c r="F12" s="452">
        <f>SUM(F5:F11)</f>
        <v>429.31724</v>
      </c>
      <c r="G12" s="370">
        <f t="shared" si="2"/>
        <v>1</v>
      </c>
      <c r="H12" s="187" t="s">
        <v>346</v>
      </c>
      <c r="I12" s="369">
        <f>SUM(G5:G11)</f>
        <v>1</v>
      </c>
    </row>
    <row r="13" spans="1:6" ht="24.75" customHeight="1" thickBot="1">
      <c r="A13" s="1"/>
      <c r="B13" s="82" t="s">
        <v>0</v>
      </c>
      <c r="C13" s="83" t="s">
        <v>11</v>
      </c>
      <c r="D13" s="83" t="s">
        <v>22</v>
      </c>
      <c r="E13" s="146" t="s">
        <v>18</v>
      </c>
      <c r="F13" s="146" t="s">
        <v>667</v>
      </c>
    </row>
    <row r="14" spans="1:6" ht="18.75" customHeight="1">
      <c r="A14" s="98" t="s">
        <v>6</v>
      </c>
      <c r="B14" s="99"/>
      <c r="C14" s="100"/>
      <c r="D14" s="101"/>
      <c r="E14" s="102"/>
      <c r="F14" s="100"/>
    </row>
    <row r="15" spans="1:6" ht="15" customHeight="1">
      <c r="A15" s="27" t="s">
        <v>1</v>
      </c>
      <c r="B15" s="27"/>
      <c r="C15" s="28"/>
      <c r="D15" s="31"/>
      <c r="E15" s="93"/>
      <c r="F15" s="93"/>
    </row>
    <row r="16" spans="1:6" ht="15" customHeight="1">
      <c r="A16" s="27" t="s">
        <v>514</v>
      </c>
      <c r="B16" s="27" t="str">
        <f>'Livestock Receipts &amp; Feed Req.'!B26</f>
        <v>cwt</v>
      </c>
      <c r="C16" s="654">
        <f>Prices!C6</f>
        <v>5</v>
      </c>
      <c r="D16" s="28">
        <f>'Livestock Receipts &amp; Feed Req.'!O26</f>
        <v>70.30763999999999</v>
      </c>
      <c r="E16" s="366">
        <f aca="true" t="shared" si="3" ref="E16:E23">C16*D16</f>
        <v>351.53819999999996</v>
      </c>
      <c r="F16" s="368">
        <f>E16/$B$2</f>
        <v>3.515382</v>
      </c>
    </row>
    <row r="17" spans="1:6" ht="15" customHeight="1">
      <c r="A17" s="27" t="s">
        <v>513</v>
      </c>
      <c r="B17" s="27" t="str">
        <f>'Livestock Receipts &amp; Feed Req.'!B27</f>
        <v>ton</v>
      </c>
      <c r="C17" s="654">
        <f>Prices!C7</f>
        <v>135</v>
      </c>
      <c r="D17" s="28">
        <f>SUM('Livestock Receipts &amp; Feed Req.'!O28:O31)</f>
        <v>172.817403</v>
      </c>
      <c r="E17" s="366">
        <f t="shared" si="3"/>
        <v>23330.349405</v>
      </c>
      <c r="F17" s="368">
        <f aca="true" t="shared" si="4" ref="F17:F23">E17/$B$2</f>
        <v>233.30349405</v>
      </c>
    </row>
    <row r="18" spans="1:6" ht="15" customHeight="1">
      <c r="A18" s="27" t="s">
        <v>515</v>
      </c>
      <c r="B18" s="27" t="str">
        <f>'Livestock Receipts &amp; Feed Req.'!B32</f>
        <v>AUM</v>
      </c>
      <c r="C18" s="654">
        <f>Prices!C8</f>
        <v>12</v>
      </c>
      <c r="D18" s="28">
        <f>SUM('Livestock Receipts &amp; Feed Req.'!O33:O36)</f>
        <v>863.954</v>
      </c>
      <c r="E18" s="366">
        <f t="shared" si="3"/>
        <v>10367.448</v>
      </c>
      <c r="F18" s="368">
        <f t="shared" si="4"/>
        <v>103.67448</v>
      </c>
    </row>
    <row r="19" spans="1:6" ht="15" customHeight="1">
      <c r="A19" s="27" t="s">
        <v>516</v>
      </c>
      <c r="B19" s="27" t="str">
        <f>'Livestock Receipts &amp; Feed Req.'!B37</f>
        <v>AUM</v>
      </c>
      <c r="C19" s="654">
        <f>Prices!C9</f>
        <v>13</v>
      </c>
      <c r="D19" s="28">
        <f>'Livestock Receipts &amp; Feed Req.'!O37</f>
        <v>123.422</v>
      </c>
      <c r="E19" s="366">
        <f t="shared" si="3"/>
        <v>1604.4859999999999</v>
      </c>
      <c r="F19" s="368">
        <f t="shared" si="4"/>
        <v>16.04486</v>
      </c>
    </row>
    <row r="20" spans="1:6" ht="15" customHeight="1">
      <c r="A20" s="27" t="s">
        <v>517</v>
      </c>
      <c r="B20" s="27" t="str">
        <f>'Livestock Receipts &amp; Feed Req.'!B38</f>
        <v>lb</v>
      </c>
      <c r="C20" s="654">
        <f>Prices!C10</f>
        <v>0.06</v>
      </c>
      <c r="D20" s="28">
        <f>'Livestock Receipts &amp; Feed Req.'!O38</f>
        <v>2203.596</v>
      </c>
      <c r="E20" s="366">
        <f t="shared" si="3"/>
        <v>132.21576</v>
      </c>
      <c r="F20" s="368">
        <f t="shared" si="4"/>
        <v>1.3221576</v>
      </c>
    </row>
    <row r="21" spans="1:6" ht="15" customHeight="1">
      <c r="A21" s="27" t="s">
        <v>659</v>
      </c>
      <c r="B21" s="27" t="str">
        <f>'Livestock Receipts &amp; Feed Req.'!B39</f>
        <v>cwt</v>
      </c>
      <c r="C21" s="654">
        <f>Prices!C11</f>
        <v>7</v>
      </c>
      <c r="D21" s="449">
        <f>'Livestock Receipts &amp; Feed Req.'!O39</f>
        <v>0</v>
      </c>
      <c r="E21" s="366">
        <f t="shared" si="3"/>
        <v>0</v>
      </c>
      <c r="F21" s="368">
        <f t="shared" si="4"/>
        <v>0</v>
      </c>
    </row>
    <row r="22" spans="1:6" ht="15" customHeight="1">
      <c r="A22" s="27" t="s">
        <v>116</v>
      </c>
      <c r="B22" s="703">
        <f>'Budget w.o. buffer'!B21</f>
        <v>0</v>
      </c>
      <c r="C22" s="654">
        <f>'Budget w.o. buffer'!C21</f>
        <v>0</v>
      </c>
      <c r="D22" s="449">
        <f>'Livestock Receipts &amp; Feed Req.'!O40</f>
        <v>0</v>
      </c>
      <c r="E22" s="366">
        <f t="shared" si="3"/>
        <v>0</v>
      </c>
      <c r="F22" s="368">
        <f t="shared" si="4"/>
        <v>0</v>
      </c>
    </row>
    <row r="23" spans="1:6" ht="15" customHeight="1">
      <c r="A23" s="27" t="s">
        <v>117</v>
      </c>
      <c r="B23" s="703">
        <f>'Budget w.o. buffer'!B22</f>
        <v>0</v>
      </c>
      <c r="C23" s="654">
        <f>'Budget w.o. buffer'!C22</f>
        <v>0</v>
      </c>
      <c r="D23" s="449">
        <f>'Livestock Receipts &amp; Feed Req.'!O41</f>
        <v>0</v>
      </c>
      <c r="E23" s="366">
        <f t="shared" si="3"/>
        <v>0</v>
      </c>
      <c r="F23" s="368">
        <f t="shared" si="4"/>
        <v>0</v>
      </c>
    </row>
    <row r="24" spans="1:6" ht="15.75" customHeight="1">
      <c r="A24" s="403" t="s">
        <v>2</v>
      </c>
      <c r="B24" s="403"/>
      <c r="C24" s="404"/>
      <c r="D24" s="405"/>
      <c r="E24" s="404">
        <f>SUM(E16:E23)</f>
        <v>35786.037365</v>
      </c>
      <c r="F24" s="404">
        <f>SUM(F16:F23)</f>
        <v>357.86037365</v>
      </c>
    </row>
    <row r="25" spans="1:7" ht="15" customHeight="1">
      <c r="A25" s="27" t="s">
        <v>660</v>
      </c>
      <c r="B25" s="27" t="s">
        <v>13</v>
      </c>
      <c r="C25" s="35">
        <f>Prices!C22</f>
        <v>2</v>
      </c>
      <c r="D25" s="449">
        <f>SUM('Livestock Receipts &amp; Feed Req.'!B15:M19)</f>
        <v>90.32799999999999</v>
      </c>
      <c r="E25" s="93">
        <f>D25*C25</f>
        <v>180.65599999999998</v>
      </c>
      <c r="F25" s="386">
        <f>E25/B2</f>
        <v>1.8065599999999997</v>
      </c>
      <c r="G25" s="202"/>
    </row>
    <row r="26" spans="1:7" ht="15" customHeight="1">
      <c r="A26" s="27" t="s">
        <v>522</v>
      </c>
      <c r="B26" s="27" t="s">
        <v>13</v>
      </c>
      <c r="C26" s="35">
        <f>E26/D26</f>
        <v>14.621598347943358</v>
      </c>
      <c r="D26" s="449">
        <f>SUM('Livestock Receipts &amp; Feed Req.'!B17:M19)</f>
        <v>23.728</v>
      </c>
      <c r="E26" s="368">
        <f>Prices!C23*SUM('Livestock Receipts &amp; Feed Req.'!F5:F7)</f>
        <v>346.9412856</v>
      </c>
      <c r="F26" s="105">
        <f>E26/B2</f>
        <v>3.469412856</v>
      </c>
      <c r="G26" s="202"/>
    </row>
    <row r="27" spans="1:7" ht="15" customHeight="1">
      <c r="A27" s="27" t="s">
        <v>523</v>
      </c>
      <c r="B27" s="27" t="s">
        <v>13</v>
      </c>
      <c r="C27" s="35">
        <f>Prices!C24</f>
        <v>7</v>
      </c>
      <c r="D27" s="449">
        <f>SUM('Livestock Receipts &amp; Feed Req.'!E3:E7)</f>
        <v>90.32799999999999</v>
      </c>
      <c r="E27" s="93">
        <f>D27*C27</f>
        <v>632.2959999999999</v>
      </c>
      <c r="F27" s="105">
        <f>E27/B2</f>
        <v>6.322959999999999</v>
      </c>
      <c r="G27" s="202"/>
    </row>
    <row r="28" spans="1:7" ht="15" customHeight="1">
      <c r="A28" s="27" t="s">
        <v>524</v>
      </c>
      <c r="B28" s="27" t="s">
        <v>13</v>
      </c>
      <c r="C28" s="35">
        <f>Prices!C25</f>
        <v>15</v>
      </c>
      <c r="D28" s="323"/>
      <c r="E28" s="93">
        <f>D28*C28</f>
        <v>0</v>
      </c>
      <c r="F28" s="105">
        <f>E28/B2</f>
        <v>0</v>
      </c>
      <c r="G28" s="202"/>
    </row>
    <row r="29" spans="1:7" ht="15" customHeight="1">
      <c r="A29" s="27" t="s">
        <v>525</v>
      </c>
      <c r="B29" s="27" t="s">
        <v>14</v>
      </c>
      <c r="C29" s="35">
        <v>1</v>
      </c>
      <c r="D29" s="323">
        <v>500</v>
      </c>
      <c r="E29" s="93">
        <f>D29</f>
        <v>500</v>
      </c>
      <c r="F29" s="105">
        <f>E29/$B$2</f>
        <v>5</v>
      </c>
      <c r="G29" s="202"/>
    </row>
    <row r="30" spans="1:7" ht="15" customHeight="1">
      <c r="A30" s="621" t="s">
        <v>526</v>
      </c>
      <c r="B30" s="621" t="s">
        <v>14</v>
      </c>
      <c r="C30" s="368">
        <v>1</v>
      </c>
      <c r="D30" s="449">
        <f>SUM('Cap Investment&amp;Machinery'!H54:H58)</f>
        <v>740.5525</v>
      </c>
      <c r="E30" s="93">
        <f>D30</f>
        <v>740.5525</v>
      </c>
      <c r="F30" s="105">
        <f>E30/$B$2</f>
        <v>7.405525</v>
      </c>
      <c r="G30" s="202"/>
    </row>
    <row r="31" spans="1:7" ht="15" customHeight="1">
      <c r="A31" s="621" t="s">
        <v>527</v>
      </c>
      <c r="B31" s="621" t="s">
        <v>14</v>
      </c>
      <c r="C31" s="368">
        <v>1</v>
      </c>
      <c r="D31" s="449">
        <f>'Cap Investment&amp;Machinery'!H53</f>
        <v>566.8749999999999</v>
      </c>
      <c r="E31" s="93">
        <f>D31</f>
        <v>566.8749999999999</v>
      </c>
      <c r="F31" s="105">
        <f>E31/$B$2</f>
        <v>5.668749999999999</v>
      </c>
      <c r="G31" s="202"/>
    </row>
    <row r="32" spans="1:7" ht="15" customHeight="1">
      <c r="A32" s="621" t="s">
        <v>528</v>
      </c>
      <c r="B32" s="621" t="s">
        <v>14</v>
      </c>
      <c r="C32" s="368">
        <v>1</v>
      </c>
      <c r="D32" s="449">
        <f>0.05*SUM('Cap Investment&amp;Machinery'!C14:C16)</f>
        <v>184.5</v>
      </c>
      <c r="E32" s="93">
        <f>D32</f>
        <v>184.5</v>
      </c>
      <c r="F32" s="105">
        <f>E32/$B$2</f>
        <v>1.845</v>
      </c>
      <c r="G32" s="202"/>
    </row>
    <row r="33" spans="1:9" ht="15" customHeight="1">
      <c r="A33" s="621" t="s">
        <v>529</v>
      </c>
      <c r="B33" s="621" t="s">
        <v>14</v>
      </c>
      <c r="C33" s="368">
        <v>1</v>
      </c>
      <c r="D33" s="449">
        <f>0.01*SUM('Cap Investment&amp;Machinery'!C6:C13)</f>
        <v>331.475</v>
      </c>
      <c r="E33" s="93">
        <f>D33</f>
        <v>331.475</v>
      </c>
      <c r="F33" s="105">
        <f>E33/$B$2</f>
        <v>3.31475</v>
      </c>
      <c r="I33" s="68"/>
    </row>
    <row r="34" spans="1:10" s="1" customFormat="1" ht="15" customHeight="1">
      <c r="A34" s="27" t="s">
        <v>3</v>
      </c>
      <c r="B34" s="27" t="s">
        <v>584</v>
      </c>
      <c r="C34" s="35">
        <f>Prices!C26</f>
        <v>8.5</v>
      </c>
      <c r="D34" s="14">
        <f>B2*'Farm &amp; Buffer Assumptions'!C62</f>
        <v>200</v>
      </c>
      <c r="E34" s="28">
        <f>D34*C34</f>
        <v>1700</v>
      </c>
      <c r="F34" s="93">
        <f>E34/B2</f>
        <v>17</v>
      </c>
      <c r="H34"/>
      <c r="I34"/>
      <c r="J34"/>
    </row>
    <row r="35" spans="1:6" ht="26.25" customHeight="1">
      <c r="A35" s="27" t="s">
        <v>4</v>
      </c>
      <c r="B35" s="27" t="s">
        <v>14</v>
      </c>
      <c r="C35" s="28"/>
      <c r="D35" s="323">
        <v>205</v>
      </c>
      <c r="E35" s="449">
        <f>D35</f>
        <v>205</v>
      </c>
      <c r="F35" s="105">
        <f>E35/B2</f>
        <v>2.05</v>
      </c>
    </row>
    <row r="36" spans="1:6" ht="15" customHeight="1">
      <c r="A36" s="27" t="s">
        <v>150</v>
      </c>
      <c r="B36" s="398"/>
      <c r="C36" s="323"/>
      <c r="D36" s="323"/>
      <c r="E36" s="93">
        <f>C36*D36</f>
        <v>0</v>
      </c>
      <c r="F36" s="105">
        <f>E36/$B$2</f>
        <v>0</v>
      </c>
    </row>
    <row r="37" spans="1:10" ht="15" customHeight="1">
      <c r="A37" s="30" t="s">
        <v>150</v>
      </c>
      <c r="B37" s="399"/>
      <c r="C37" s="400"/>
      <c r="D37" s="400"/>
      <c r="E37" s="93">
        <f>C37*D37</f>
        <v>0</v>
      </c>
      <c r="F37" s="105">
        <f>E37/$B$2</f>
        <v>0</v>
      </c>
      <c r="H37" s="10"/>
      <c r="J37" s="178"/>
    </row>
    <row r="38" spans="1:10" ht="15" customHeight="1">
      <c r="A38" s="27" t="s">
        <v>154</v>
      </c>
      <c r="B38" s="27"/>
      <c r="C38" s="28"/>
      <c r="D38" s="28"/>
      <c r="E38" s="323">
        <f>SUM(E24:E37)/2*'Farm &amp; Buffer Assumptions'!$C$70/2</f>
        <v>720.5508301355</v>
      </c>
      <c r="F38" s="94">
        <f>E38/B2</f>
        <v>7.205508301355</v>
      </c>
      <c r="H38" s="10"/>
      <c r="I38" s="178"/>
      <c r="J38" s="10"/>
    </row>
    <row r="39" spans="1:9" ht="18" customHeight="1" thickBot="1">
      <c r="A39" s="467" t="s">
        <v>625</v>
      </c>
      <c r="B39" s="468"/>
      <c r="C39" s="469"/>
      <c r="D39" s="469"/>
      <c r="E39" s="470">
        <f>IF('Farm &amp; Buffer Assumptions'!C85=10,'Buffer Builder'!B150,IF('Farm &amp; Buffer Assumptions'!C85=15,'Buffer Builder'!B154,IF('Farm &amp; Buffer Assumptions'!C85=25,'Buffer Builder'!B158,IF('Farm &amp; Buffer Assumptions'!C85=50,'Buffer Builder'!B162,0))))</f>
        <v>5994.237631423571</v>
      </c>
      <c r="F39" s="470">
        <f>E39/B2</f>
        <v>59.94237631423571</v>
      </c>
      <c r="H39" s="407"/>
      <c r="I39" s="272"/>
    </row>
    <row r="40" spans="1:10" ht="20.25" customHeight="1">
      <c r="A40" s="401" t="s">
        <v>5</v>
      </c>
      <c r="B40" s="401"/>
      <c r="C40" s="402"/>
      <c r="D40" s="402"/>
      <c r="E40" s="402">
        <f>SUM(E24:E39)</f>
        <v>47889.12161215907</v>
      </c>
      <c r="F40" s="402">
        <f>SUM(F24:F39)</f>
        <v>478.8912161215908</v>
      </c>
      <c r="G40" s="407">
        <f>F40/F58</f>
        <v>0.7287869409282851</v>
      </c>
      <c r="H40" s="448" t="s">
        <v>346</v>
      </c>
      <c r="I40" s="406">
        <f>E40/B2</f>
        <v>478.8912161215907</v>
      </c>
      <c r="J40" s="10" t="s">
        <v>620</v>
      </c>
    </row>
    <row r="41" spans="1:9" ht="15" customHeight="1">
      <c r="A41" s="1"/>
      <c r="B41" s="1"/>
      <c r="C41" s="14"/>
      <c r="D41" s="36"/>
      <c r="E41" s="91"/>
      <c r="F41" s="92"/>
      <c r="G41" s="407"/>
      <c r="I41" s="68"/>
    </row>
    <row r="42" spans="1:7" ht="21.75" customHeight="1">
      <c r="A42" s="98" t="s">
        <v>530</v>
      </c>
      <c r="B42" s="99"/>
      <c r="C42" s="100"/>
      <c r="D42" s="101"/>
      <c r="E42" s="102"/>
      <c r="F42" s="100"/>
      <c r="G42" s="407"/>
    </row>
    <row r="43" spans="1:7" ht="15" customHeight="1">
      <c r="A43" s="27" t="s">
        <v>152</v>
      </c>
      <c r="B43" s="27"/>
      <c r="C43" s="28"/>
      <c r="D43" s="28"/>
      <c r="E43" s="93">
        <f>'Cap Investment&amp;Machinery'!K47</f>
        <v>3040.0295000000006</v>
      </c>
      <c r="F43" s="93">
        <f>E43/$B$2</f>
        <v>30.400295000000007</v>
      </c>
      <c r="G43" s="407"/>
    </row>
    <row r="44" spans="1:7" ht="15" customHeight="1">
      <c r="A44" s="27" t="s">
        <v>7</v>
      </c>
      <c r="B44" s="27"/>
      <c r="C44" s="28"/>
      <c r="D44" s="28"/>
      <c r="E44" s="93">
        <f>'Cap Investment&amp;Machinery'!L47</f>
        <v>127.55672000000001</v>
      </c>
      <c r="F44" s="93">
        <f>E44/$B$2</f>
        <v>1.2755672000000002</v>
      </c>
      <c r="G44" s="407"/>
    </row>
    <row r="45" spans="1:7" ht="15" customHeight="1">
      <c r="A45" s="27" t="s">
        <v>155</v>
      </c>
      <c r="B45" s="27"/>
      <c r="C45" s="28"/>
      <c r="D45" s="28"/>
      <c r="E45" s="323"/>
      <c r="F45" s="93">
        <f>E45/$B$2</f>
        <v>0</v>
      </c>
      <c r="G45" s="407"/>
    </row>
    <row r="46" spans="1:7" ht="15" customHeight="1">
      <c r="A46" s="27" t="s">
        <v>150</v>
      </c>
      <c r="B46" s="27"/>
      <c r="C46" s="28"/>
      <c r="D46" s="28"/>
      <c r="E46" s="323"/>
      <c r="F46" s="93">
        <f>E46/$B$2</f>
        <v>0</v>
      </c>
      <c r="G46" s="407"/>
    </row>
    <row r="47" spans="1:7" ht="15" customHeight="1">
      <c r="A47" s="27" t="s">
        <v>150</v>
      </c>
      <c r="B47" s="27"/>
      <c r="C47" s="28"/>
      <c r="D47" s="28"/>
      <c r="E47" s="323"/>
      <c r="F47" s="93">
        <f>E47/$B$2</f>
        <v>0</v>
      </c>
      <c r="G47" s="407"/>
    </row>
    <row r="48" spans="1:7" ht="21.75" customHeight="1">
      <c r="A48" s="324" t="s">
        <v>531</v>
      </c>
      <c r="B48" s="325"/>
      <c r="C48" s="326"/>
      <c r="D48" s="327"/>
      <c r="E48" s="326"/>
      <c r="F48" s="326"/>
      <c r="G48" s="407"/>
    </row>
    <row r="49" spans="1:7" ht="15" customHeight="1">
      <c r="A49" s="409" t="s">
        <v>596</v>
      </c>
      <c r="B49" s="27"/>
      <c r="C49" s="28"/>
      <c r="D49" s="28"/>
      <c r="E49" s="93"/>
      <c r="F49" s="93"/>
      <c r="G49" s="407"/>
    </row>
    <row r="50" spans="1:7" ht="15" customHeight="1">
      <c r="A50" s="27" t="s">
        <v>612</v>
      </c>
      <c r="B50" s="27"/>
      <c r="C50" s="28"/>
      <c r="D50" s="28"/>
      <c r="E50" s="93">
        <f>'Cap Investment&amp;Machinery'!N27</f>
        <v>1652.850351250934</v>
      </c>
      <c r="F50" s="93">
        <f aca="true" t="shared" si="5" ref="F50:F56">E50/$B$2</f>
        <v>16.52850351250934</v>
      </c>
      <c r="G50" s="407"/>
    </row>
    <row r="51" spans="1:7" ht="15" customHeight="1">
      <c r="A51" s="27" t="s">
        <v>621</v>
      </c>
      <c r="B51" s="27"/>
      <c r="C51" s="28"/>
      <c r="D51" s="28"/>
      <c r="E51" s="93">
        <f>'Cap Investment&amp;Machinery'!N20</f>
        <v>4144.991119639324</v>
      </c>
      <c r="F51" s="93">
        <f t="shared" si="5"/>
        <v>41.44991119639324</v>
      </c>
      <c r="G51" s="407"/>
    </row>
    <row r="52" spans="1:7" ht="15" customHeight="1">
      <c r="A52" s="27" t="s">
        <v>622</v>
      </c>
      <c r="B52" s="27"/>
      <c r="C52" s="28"/>
      <c r="D52" s="28"/>
      <c r="E52" s="93">
        <f>'Cap Investment&amp;Machinery'!N43</f>
        <v>2656.7058280612305</v>
      </c>
      <c r="F52" s="93">
        <f t="shared" si="5"/>
        <v>26.567058280612304</v>
      </c>
      <c r="G52" s="407"/>
    </row>
    <row r="53" spans="1:9" ht="15" customHeight="1">
      <c r="A53" s="27" t="s">
        <v>613</v>
      </c>
      <c r="B53" s="27"/>
      <c r="C53" s="28"/>
      <c r="D53" s="28"/>
      <c r="E53" s="93">
        <f>'Cap Investment&amp;Machinery'!N34</f>
        <v>6151.6407</v>
      </c>
      <c r="F53" s="93">
        <f t="shared" si="5"/>
        <v>61.516407</v>
      </c>
      <c r="G53" s="407"/>
      <c r="I53" s="68"/>
    </row>
    <row r="54" spans="1:7" ht="15" customHeight="1">
      <c r="A54" s="27" t="s">
        <v>597</v>
      </c>
      <c r="B54" s="27"/>
      <c r="C54" s="28"/>
      <c r="D54" s="28"/>
      <c r="E54" s="93">
        <f>'Cap Investment&amp;Machinery'!M47</f>
        <v>47.83377</v>
      </c>
      <c r="F54" s="93">
        <f t="shared" si="5"/>
        <v>0.47833770000000003</v>
      </c>
      <c r="G54" s="407"/>
    </row>
    <row r="55" spans="1:7" ht="15" customHeight="1">
      <c r="A55" s="27" t="s">
        <v>598</v>
      </c>
      <c r="B55" s="27"/>
      <c r="C55" s="28"/>
      <c r="D55" s="28"/>
      <c r="E55" s="203"/>
      <c r="F55" s="93">
        <f t="shared" si="5"/>
        <v>0</v>
      </c>
      <c r="G55" s="407"/>
    </row>
    <row r="56" spans="1:7" ht="15" customHeight="1" thickBot="1">
      <c r="A56" s="30" t="s">
        <v>150</v>
      </c>
      <c r="B56" s="30"/>
      <c r="C56" s="31"/>
      <c r="D56" s="31"/>
      <c r="E56" s="453"/>
      <c r="F56" s="94">
        <f t="shared" si="5"/>
        <v>0</v>
      </c>
      <c r="G56" s="407"/>
    </row>
    <row r="57" spans="1:10" ht="19.5" customHeight="1">
      <c r="A57" s="401" t="s">
        <v>8</v>
      </c>
      <c r="B57" s="401"/>
      <c r="C57" s="402"/>
      <c r="D57" s="402"/>
      <c r="E57" s="402">
        <f>SUM(E43:E56)</f>
        <v>17821.60798895149</v>
      </c>
      <c r="F57" s="402">
        <f>SUM(F43:F56)</f>
        <v>178.21607988951487</v>
      </c>
      <c r="G57" s="407">
        <f>F57/F58</f>
        <v>0.27121305907171495</v>
      </c>
      <c r="H57" s="187" t="s">
        <v>346</v>
      </c>
      <c r="I57" s="272">
        <f>E57/B2</f>
        <v>178.2160798895149</v>
      </c>
      <c r="J57" s="407"/>
    </row>
    <row r="58" spans="1:6" ht="21.75" customHeight="1">
      <c r="A58" s="198" t="s">
        <v>9</v>
      </c>
      <c r="B58" s="199"/>
      <c r="C58" s="328"/>
      <c r="D58" s="329"/>
      <c r="E58" s="330">
        <f>E40+E57</f>
        <v>65710.72960111056</v>
      </c>
      <c r="F58" s="330">
        <f>F40+F57</f>
        <v>657.1072960111056</v>
      </c>
    </row>
    <row r="59" spans="1:9" ht="28.5" customHeight="1">
      <c r="A59" s="331" t="s">
        <v>655</v>
      </c>
      <c r="B59" s="332"/>
      <c r="C59" s="333"/>
      <c r="D59" s="334"/>
      <c r="E59" s="334">
        <f>E12-E58</f>
        <v>-22779.005601110563</v>
      </c>
      <c r="F59" s="334">
        <f>F12-F58</f>
        <v>-227.7900560111056</v>
      </c>
      <c r="H59" t="s">
        <v>346</v>
      </c>
      <c r="I59" s="272">
        <f>E59/B2</f>
        <v>-227.79005601110563</v>
      </c>
    </row>
    <row r="60" spans="1:9" s="510" customFormat="1" ht="15.75" customHeight="1">
      <c r="A60" s="512" t="s">
        <v>656</v>
      </c>
      <c r="B60" s="512"/>
      <c r="C60" s="105"/>
      <c r="D60" s="105"/>
      <c r="E60" s="105">
        <f>B2*C34*'Farm &amp; Buffer Assumptions'!C61</f>
        <v>6188</v>
      </c>
      <c r="F60" s="94">
        <f>E60/B2</f>
        <v>61.88</v>
      </c>
      <c r="I60" s="511"/>
    </row>
    <row r="61" spans="1:6" ht="15" customHeight="1">
      <c r="A61" s="30" t="s">
        <v>658</v>
      </c>
      <c r="B61" s="30"/>
      <c r="C61" s="31"/>
      <c r="D61" s="31"/>
      <c r="E61" s="94">
        <f>E12*'Farm &amp; Buffer Assumptions'!C59</f>
        <v>2146.5862</v>
      </c>
      <c r="F61" s="94">
        <f>E61/B2</f>
        <v>21.465862</v>
      </c>
    </row>
    <row r="62" spans="1:6" ht="15" customHeight="1" thickBot="1">
      <c r="A62" s="27" t="s">
        <v>532</v>
      </c>
      <c r="B62" s="27"/>
      <c r="C62" s="28"/>
      <c r="D62" s="28"/>
      <c r="E62" s="93">
        <f>IF('Farm &amp; Buffer Assumptions'!C67&gt;0,Prices!C29*('Farm &amp; Buffer Assumptions'!C67-'Buffer Builder'!B95),0)</f>
        <v>0</v>
      </c>
      <c r="F62" s="93">
        <f>E62/B2</f>
        <v>0</v>
      </c>
    </row>
    <row r="63" spans="1:6" ht="20.25" customHeight="1" thickBot="1">
      <c r="A63" s="455" t="s">
        <v>36</v>
      </c>
      <c r="B63" s="455"/>
      <c r="C63" s="456"/>
      <c r="D63" s="456"/>
      <c r="E63" s="457">
        <f>SUM(E60:E62)+E58</f>
        <v>74045.31580111057</v>
      </c>
      <c r="F63" s="457">
        <f>SUM(F60:F62)+F58</f>
        <v>740.4531580111056</v>
      </c>
    </row>
    <row r="64" spans="1:6" ht="20.25" customHeight="1" thickTop="1">
      <c r="A64" s="95" t="s">
        <v>37</v>
      </c>
      <c r="B64" s="95"/>
      <c r="C64" s="96"/>
      <c r="D64" s="97"/>
      <c r="E64" s="458">
        <f>E12-E63</f>
        <v>-31113.591801110568</v>
      </c>
      <c r="F64" s="458">
        <f>F12-F63</f>
        <v>-311.1359180111056</v>
      </c>
    </row>
  </sheetData>
  <mergeCells count="1">
    <mergeCell ref="A1:F1"/>
  </mergeCells>
  <printOptions/>
  <pageMargins left="0.5" right="0.5" top="0.75" bottom="0.9" header="0.43" footer="0.5"/>
  <pageSetup fitToHeight="2" horizontalDpi="300" verticalDpi="300" orientation="portrait" scale="99" r:id="rId3"/>
  <headerFooter alignWithMargins="0">
    <oddHeader>&amp;LFile Name: &amp;F, Sheet Name: &amp;A&amp;R&amp;D, &amp;T</oddHeader>
    <oddFooter>&amp;LPrepared By:
Resource Consulting&amp;RNumbers in blue can be modified by the user</oddFooter>
  </headerFooter>
  <rowBreaks count="1" manualBreakCount="1">
    <brk id="40"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henri</dc:creator>
  <cp:keywords/>
  <dc:description/>
  <cp:lastModifiedBy> </cp:lastModifiedBy>
  <cp:lastPrinted>2004-01-14T00:57:52Z</cp:lastPrinted>
  <dcterms:created xsi:type="dcterms:W3CDTF">2002-10-31T00:24:45Z</dcterms:created>
  <dcterms:modified xsi:type="dcterms:W3CDTF">2004-04-08T17:51:53Z</dcterms:modified>
  <cp:category/>
  <cp:version/>
  <cp:contentType/>
  <cp:contentStatus/>
</cp:coreProperties>
</file>