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https://emailwsu-my.sharepoint.com/personal/samantha_crow_wsu_edu/Documents/Documents/Oilseeds/New site/econ and market/"/>
    </mc:Choice>
  </mc:AlternateContent>
  <xr:revisionPtr revIDLastSave="0" documentId="8_{F1D75742-1577-4737-8B32-9B52B360DA70}" xr6:coauthVersionLast="47" xr6:coauthVersionMax="47" xr10:uidLastSave="{00000000-0000-0000-0000-000000000000}"/>
  <bookViews>
    <workbookView xWindow="-120" yWindow="-120" windowWidth="29040" windowHeight="15840" tabRatio="847" xr2:uid="{00000000-000D-0000-FFFF-FFFF00000000}"/>
  </bookViews>
  <sheets>
    <sheet name="Title Page" sheetId="76" r:id="rId1"/>
    <sheet name="Assumptions &amp; Instructions" sheetId="77" r:id="rId2"/>
    <sheet name="Summary" sheetId="24" r:id="rId3"/>
    <sheet name="Rotation data" sheetId="54" state="hidden" r:id="rId4"/>
    <sheet name="Input Costs" sheetId="28" r:id="rId5"/>
    <sheet name="Calendar (canola rotation)" sheetId="78" r:id="rId6"/>
    <sheet name="Calendar (wheat rotation)" sheetId="79" r:id="rId7"/>
    <sheet name="1. SWWW (canola rotation)" sheetId="66" r:id="rId8"/>
    <sheet name="2. HRWW (canola rotation)" sheetId="67" r:id="rId9"/>
    <sheet name="3. SC (canola rotation)" sheetId="74" r:id="rId10"/>
    <sheet name="4. SWWW (wheat rotation)" sheetId="2" r:id="rId11"/>
    <sheet name="5. HRWW (wheat rotation)" sheetId="65" r:id="rId12"/>
    <sheet name="6. SWSW (wheat rotation)" sheetId="55" r:id="rId13"/>
    <sheet name="7. DNS (wheat rotation)" sheetId="73" r:id="rId14"/>
    <sheet name="8. SB (wheat rotation)" sheetId="75" r:id="rId15"/>
    <sheet name="Machinery Complement" sheetId="62" r:id="rId16"/>
    <sheet name="Machinery Costs" sheetId="58" r:id="rId17"/>
  </sheets>
  <definedNames>
    <definedName name="Aerial">'Input Costs'!$D$41</definedName>
    <definedName name="AmmSulfLiq">'Input Costs'!$D$33</definedName>
    <definedName name="AmSulf">'Input Costs'!$D$32</definedName>
    <definedName name="AssureII">'Input Costs'!$D$58</definedName>
    <definedName name="Axial">'Input Costs'!$D$59</definedName>
    <definedName name="axiom">'Input Costs'!$D$60</definedName>
    <definedName name="B1_TL" localSheetId="5">#REF!</definedName>
    <definedName name="B1_TL" localSheetId="6">#REF!</definedName>
    <definedName name="B1_TL">'1. SWWW (canola rotation)'!$A$1</definedName>
    <definedName name="B2_TL" localSheetId="5">#REF!</definedName>
    <definedName name="B2_TL" localSheetId="6">#REF!</definedName>
    <definedName name="B2_TL">'2. HRWW (canola rotation)'!$N$7</definedName>
    <definedName name="B3_TL">'3. SC (canola rotation)'!$A$1</definedName>
    <definedName name="B4_TL" localSheetId="5">#REF!</definedName>
    <definedName name="B4_TL" localSheetId="6">#REF!</definedName>
    <definedName name="B4_TL">'4. SWWW (wheat rotation)'!$A$3</definedName>
    <definedName name="B5_TL" localSheetId="5">#REF!</definedName>
    <definedName name="B5_TL" localSheetId="6">#REF!</definedName>
    <definedName name="B5_TL">'5. HRWW (wheat rotation)'!$A$1</definedName>
    <definedName name="B6_TL">'6. SWSW (wheat rotation)'!$A$1</definedName>
    <definedName name="B7_TL">'7. DNS (wheat rotation)'!$A$1</definedName>
    <definedName name="B8_TL">'8. SB (wheat rotation)'!$A$1</definedName>
    <definedName name="Banvel">'Input Costs'!$D$61</definedName>
    <definedName name="BarleyStorage">'Input Costs'!$D$89</definedName>
    <definedName name="Boron">'Input Costs'!$D$29</definedName>
    <definedName name="Bronate">'Input Costs'!$D$62</definedName>
    <definedName name="Brox2EC">'Input Costs'!$D$63</definedName>
    <definedName name="BroxM">'Input Costs'!$D$64</definedName>
    <definedName name="Calendar1" localSheetId="5">'Calendar (canola rotation)'!$B$10</definedName>
    <definedName name="Calendar1">#REF!</definedName>
    <definedName name="Calendar2" localSheetId="5">'Calendar (canola rotation)'!$B$24</definedName>
    <definedName name="Calendar2">#REF!</definedName>
    <definedName name="Calendar3" localSheetId="5">'Calendar (canola rotation)'!$B$43</definedName>
    <definedName name="Calendar3">#REF!</definedName>
    <definedName name="Calendar4" localSheetId="6">'Calendar (wheat rotation)'!$B$10</definedName>
    <definedName name="Calendar4">#REF!</definedName>
    <definedName name="Calendar5" localSheetId="6">'Calendar (wheat rotation)'!$B$24</definedName>
    <definedName name="Calendar5">#REF!</definedName>
    <definedName name="Calendar6" localSheetId="6">'Calendar (wheat rotation)'!$B$44</definedName>
    <definedName name="Calendar6">#REF!</definedName>
    <definedName name="CanolaStorage">'Input Costs'!$D$88</definedName>
    <definedName name="Cashrent">'Input Costs'!$D$102</definedName>
    <definedName name="ciDNS">'Input Costs'!$D$51</definedName>
    <definedName name="ciHRWW">'Input Costs'!$D$48</definedName>
    <definedName name="ciSB">'Input Costs'!$D$52</definedName>
    <definedName name="ciSC">'Input Costs'!$D$53</definedName>
    <definedName name="ciSWSW">'Input Costs'!$D$50</definedName>
    <definedName name="ciSWWW">'Input Costs'!$D$49</definedName>
    <definedName name="COC">'Input Costs'!$D$34</definedName>
    <definedName name="Diesel">'Input Costs'!$D$12</definedName>
    <definedName name="FertApplicator">'Input Costs'!$D$42</definedName>
    <definedName name="Finesse">'Input Costs'!$D$65</definedName>
    <definedName name="Gas">'Input Costs'!$D$13</definedName>
    <definedName name="Glyphosphate">'Input Costs'!$D$66</definedName>
    <definedName name="HarmonyGT">'Input Costs'!$D$67</definedName>
    <definedName name="Huskie">'Input Costs'!$D$68</definedName>
    <definedName name="InPlace">'Input Costs'!$D$35</definedName>
    <definedName name="Intloan">'Input Costs'!$D$106</definedName>
    <definedName name="Labor">'Input Costs'!$D$93</definedName>
    <definedName name="Landtax">'Input Costs'!#REF!</definedName>
    <definedName name="M_90">'Input Costs'!$D$36</definedName>
    <definedName name="MachLabor">'Input Costs'!$D$92</definedName>
    <definedName name="Maverick">'Input Costs'!$D$71</definedName>
    <definedName name="MCPAa">'Input Costs'!$D$69</definedName>
    <definedName name="MCPAe">'Input Costs'!$D$70</definedName>
    <definedName name="Mgmtfee">'Input Costs'!$D$99</definedName>
    <definedName name="mso">'Input Costs'!$D$37</definedName>
    <definedName name="NIS">'Input Costs'!$D$38</definedName>
    <definedName name="Nitrogen">'Input Costs'!$D$25</definedName>
    <definedName name="OH">'Input Costs'!$D$96</definedName>
    <definedName name="Operloan">'Input Costs'!$D$105</definedName>
    <definedName name="OperShare">Summary!$P$15</definedName>
    <definedName name="Orion">'Input Costs'!$D$72</definedName>
    <definedName name="Osprey">'Input Costs'!$D$73</definedName>
    <definedName name="OwnerShare">Summary!$P$16</definedName>
    <definedName name="Phosphorous">'Input Costs'!$D$26</definedName>
    <definedName name="Poast">'Input Costs'!$D$74</definedName>
    <definedName name="Potassium">'Input Costs'!$D$28</definedName>
    <definedName name="Powerflex">'Input Costs'!$D$75</definedName>
    <definedName name="_xlnm.Print_Area" localSheetId="7">'1. SWWW (canola rotation)'!$A$8:$L$128,'1. SWWW (canola rotation)'!$M$8:$W$72,'1. SWWW (canola rotation)'!$M$73:$V$128</definedName>
    <definedName name="_xlnm.Print_Area" localSheetId="8">'2. HRWW (canola rotation)'!$B$8:$W$127</definedName>
    <definedName name="_xlnm.Print_Area" localSheetId="9">'3. SC (canola rotation)'!$B$8:$K$125</definedName>
    <definedName name="_xlnm.Print_Area" localSheetId="10">'4. SWWW (wheat rotation)'!$B$8:$W$127</definedName>
    <definedName name="_xlnm.Print_Area" localSheetId="11">'5. HRWW (wheat rotation)'!$B$8:$W$127</definedName>
    <definedName name="_xlnm.Print_Area" localSheetId="12">'6. SWSW (wheat rotation)'!$B$8:$K$126</definedName>
    <definedName name="_xlnm.Print_Area" localSheetId="13">'7. DNS (wheat rotation)'!$B$8:$K$127</definedName>
    <definedName name="_xlnm.Print_Area" localSheetId="14">'8. SB (wheat rotation)'!$B$8:$K$127</definedName>
    <definedName name="_xlnm.Print_Area" localSheetId="1">'Assumptions &amp; Instructions'!$A$1:$K$223</definedName>
    <definedName name="_xlnm.Print_Area" localSheetId="5">'Calendar (canola rotation)'!$A$4:$G$61</definedName>
    <definedName name="_xlnm.Print_Area" localSheetId="6">'Calendar (wheat rotation)'!$A$5:$G$62</definedName>
    <definedName name="_xlnm.Print_Area" localSheetId="4">'Input Costs'!$A$8:$F$113</definedName>
    <definedName name="_xlnm.Print_Area" localSheetId="15">'Machinery Complement'!$B$8:$O$38</definedName>
    <definedName name="_xlnm.Print_Area" localSheetId="16">'Machinery Costs'!$A$12:$O$38,'Machinery Costs'!$A$56:$O$114,'Machinery Costs'!$A$117:$O$170,'Machinery Costs'!$A$173:$O$228,'Machinery Costs'!$A$231:$O$284,'Machinery Costs'!$A$287:$O$340,'Machinery Costs'!$A$343:$O$396</definedName>
    <definedName name="_xlnm.Print_Area" localSheetId="2">Summary!$A$8:$Q$57</definedName>
    <definedName name="_xlnm.Print_Area" localSheetId="0">'Title Page'!$B$1:$F$46</definedName>
    <definedName name="pSB">Summary!$F$38</definedName>
    <definedName name="pSC">Summary!$F$25</definedName>
    <definedName name="pSWW">Summary!$F$19</definedName>
    <definedName name="Pursuit">'Input Costs'!$D$76</definedName>
    <definedName name="Quadris">'Input Costs'!$D$77</definedName>
    <definedName name="Quilt">'Input Costs'!$D$78</definedName>
    <definedName name="Rotation">'Rotation data'!$A$6:$A$13</definedName>
    <definedName name="RotationData">'Rotation data'!$A$6:$I$13</definedName>
    <definedName name="sdBarley">'Input Costs'!$D$20</definedName>
    <definedName name="sdDNS">'Input Costs'!$D$19</definedName>
    <definedName name="sdHRWW">'Input Costs'!$D$17</definedName>
    <definedName name="sdSC">'Input Costs'!$D$21</definedName>
    <definedName name="sdSC_RR">'Input Costs'!$D$22</definedName>
    <definedName name="sdSWSW">'Input Costs'!$D$18</definedName>
    <definedName name="sdSWWW">'Input Costs'!$D$16</definedName>
    <definedName name="Shooter">'Input Costs'!$D$44</definedName>
    <definedName name="Shredder">'Input Costs'!$D$43</definedName>
    <definedName name="Spodnam">'Input Costs'!$D$84</definedName>
    <definedName name="Sprayer">'Input Costs'!$D$45</definedName>
    <definedName name="Sulfur">'Input Costs'!$D$27</definedName>
    <definedName name="Table10">'Machinery Costs'!$B$228</definedName>
    <definedName name="Table11">'Machinery Costs'!$B$256</definedName>
    <definedName name="Table12">'Machinery Costs'!$B$284</definedName>
    <definedName name="Table13">'Machinery Costs'!$B$312</definedName>
    <definedName name="Table14">'Machinery Costs'!$B$340</definedName>
    <definedName name="Table15">'Machinery Costs'!$B$368</definedName>
    <definedName name="Table16">'Machinery Costs'!$B$396</definedName>
    <definedName name="Table4">'Machinery Costs'!$B$37</definedName>
    <definedName name="Table5">'Machinery Costs'!$B$86</definedName>
    <definedName name="Table6">'Machinery Costs'!$B$114</definedName>
    <definedName name="Table7">'Machinery Costs'!$B$142</definedName>
    <definedName name="Table8">'Machinery Costs'!$B$170</definedName>
    <definedName name="Table9">'Machinery Costs'!$B$198</definedName>
    <definedName name="Tilt">'Input Costs'!$D$79</definedName>
    <definedName name="Two4Da">'Input Costs'!$D$56</definedName>
    <definedName name="Two4DB">'Input Costs'!#REF!</definedName>
    <definedName name="Two4De">'Input Costs'!$D$57</definedName>
    <definedName name="Warrior">'Input Costs'!$D$80</definedName>
    <definedName name="WheatStorage">'Input Costs'!$D$87</definedName>
    <definedName name="Widematch">'Input Costs'!$D$81</definedName>
    <definedName name="yDNS_CR">Summary!$E$36</definedName>
    <definedName name="yHRWW_CR">Summary!$E$31</definedName>
    <definedName name="yHRWW_OR">Summary!$E$22</definedName>
    <definedName name="ySB_CR">Summary!$E$38</definedName>
    <definedName name="ySC_OR">Summary!$E$25</definedName>
    <definedName name="ySWSW_CR">Summary!$E$34</definedName>
    <definedName name="ySWWW_CR">Summary!$E$28</definedName>
    <definedName name="ySWWW_OR">Summary!$E$19</definedName>
    <definedName name="Z_5519EDA0_AC19_11DC_BDFC_0017F2D6B148_.wvu.Cols" localSheetId="7" hidden="1">'1. SWWW (canola rotation)'!$W:$W</definedName>
    <definedName name="Z_5519EDA0_AC19_11DC_BDFC_0017F2D6B148_.wvu.Cols" localSheetId="8" hidden="1">'2. HRWW (canola rotation)'!$W:$W</definedName>
    <definedName name="Z_5519EDA0_AC19_11DC_BDFC_0017F2D6B148_.wvu.Cols" localSheetId="10" hidden="1">'4. SWWW (wheat rotation)'!$W:$W</definedName>
    <definedName name="Z_5519EDA0_AC19_11DC_BDFC_0017F2D6B148_.wvu.Cols" localSheetId="11" hidden="1">'5. HRWW (wheat rotation)'!$W:$W</definedName>
    <definedName name="Z_5519EDA0_AC19_11DC_BDFC_0017F2D6B148_.wvu.PrintArea" localSheetId="7" hidden="1">'1. SWWW (canola rotation)'!$N$10:$W$93</definedName>
    <definedName name="Z_5519EDA0_AC19_11DC_BDFC_0017F2D6B148_.wvu.PrintArea" localSheetId="8" hidden="1">'2. HRWW (canola rotation)'!$N$10:$W$93</definedName>
    <definedName name="Z_5519EDA0_AC19_11DC_BDFC_0017F2D6B148_.wvu.PrintArea" localSheetId="10" hidden="1">'4. SWWW (wheat rotation)'!$N$10:$W$93</definedName>
    <definedName name="Z_5519EDA0_AC19_11DC_BDFC_0017F2D6B148_.wvu.PrintArea" localSheetId="11" hidden="1">'5. HRWW (wheat rotation)'!$N$10:$W$93</definedName>
    <definedName name="Z_DF41C481_38FD_4F9F_AEF1_AE5420249928_.wvu.Cols" localSheetId="7" hidden="1">'1. SWWW (canola rotation)'!$W:$W</definedName>
    <definedName name="Z_DF41C481_38FD_4F9F_AEF1_AE5420249928_.wvu.Cols" localSheetId="8" hidden="1">'2. HRWW (canola rotation)'!$W:$W</definedName>
    <definedName name="Z_DF41C481_38FD_4F9F_AEF1_AE5420249928_.wvu.Cols" localSheetId="10" hidden="1">'4. SWWW (wheat rotation)'!$W:$W</definedName>
    <definedName name="Z_DF41C481_38FD_4F9F_AEF1_AE5420249928_.wvu.Cols" localSheetId="11" hidden="1">'5. HRWW (wheat rotation)'!$W:$W</definedName>
    <definedName name="Z_DF41C481_38FD_4F9F_AEF1_AE5420249928_.wvu.PrintArea" localSheetId="7" hidden="1">'1. SWWW (canola rotation)'!$N$10:$W$93</definedName>
    <definedName name="Z_DF41C481_38FD_4F9F_AEF1_AE5420249928_.wvu.PrintArea" localSheetId="8" hidden="1">'2. HRWW (canola rotation)'!$N$10:$W$93</definedName>
    <definedName name="Z_DF41C481_38FD_4F9F_AEF1_AE5420249928_.wvu.PrintArea" localSheetId="10" hidden="1">'4. SWWW (wheat rotation)'!$N$10:$W$93</definedName>
    <definedName name="Z_DF41C481_38FD_4F9F_AEF1_AE5420249928_.wvu.PrintArea" localSheetId="11" hidden="1">'5. HRWW (wheat rotation)'!$N$10:$W$93</definedName>
    <definedName name="Z_E00EC0C4_E70A_4D33_A9FE_7CF308F53A5C_.wvu.Cols" localSheetId="7" hidden="1">'1. SWWW (canola rotation)'!$W:$W</definedName>
    <definedName name="Z_E00EC0C4_E70A_4D33_A9FE_7CF308F53A5C_.wvu.Cols" localSheetId="8" hidden="1">'2. HRWW (canola rotation)'!$W:$W</definedName>
    <definedName name="Z_E00EC0C4_E70A_4D33_A9FE_7CF308F53A5C_.wvu.Cols" localSheetId="10" hidden="1">'4. SWWW (wheat rotation)'!$W:$W</definedName>
    <definedName name="Z_E00EC0C4_E70A_4D33_A9FE_7CF308F53A5C_.wvu.Cols" localSheetId="11" hidden="1">'5. HRWW (wheat rotation)'!$W:$W</definedName>
    <definedName name="Z_E00EC0C4_E70A_4D33_A9FE_7CF308F53A5C_.wvu.PrintArea" localSheetId="7" hidden="1">'1. SWWW (canola rotation)'!$N$10:$W$93</definedName>
    <definedName name="Z_E00EC0C4_E70A_4D33_A9FE_7CF308F53A5C_.wvu.PrintArea" localSheetId="8" hidden="1">'2. HRWW (canola rotation)'!$N$10:$W$93</definedName>
    <definedName name="Z_E00EC0C4_E70A_4D33_A9FE_7CF308F53A5C_.wvu.PrintArea" localSheetId="10" hidden="1">'4. SWWW (wheat rotation)'!$N$10:$W$93</definedName>
    <definedName name="Z_E00EC0C4_E70A_4D33_A9FE_7CF308F53A5C_.wvu.PrintArea" localSheetId="11" hidden="1">'5. HRWW (wheat rotation)'!$N$10:$W$93</definedName>
  </definedNames>
  <calcPr calcId="191029"/>
  <customWorkbookViews>
    <customWorkbookView name="Office 2004 User - Personal View" guid="{5519EDA0-AC19-11DC-BDFC-0017F2D6B148}" mergeInterval="0" personalView="1" xWindow="-1" yWindow="19" windowWidth="839" windowHeight="722" activeSheetId="6"/>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 i="75" l="1"/>
  <c r="K31" i="75" s="1"/>
  <c r="I31" i="73"/>
  <c r="K31" i="73" s="1"/>
  <c r="I31" i="55"/>
  <c r="T32" i="65"/>
  <c r="I32" i="65"/>
  <c r="K33" i="65"/>
  <c r="T32" i="2"/>
  <c r="V32" i="2" s="1"/>
  <c r="I32" i="2"/>
  <c r="K32" i="2" s="1"/>
  <c r="I31" i="74"/>
  <c r="I32" i="74"/>
  <c r="T32" i="67"/>
  <c r="I32" i="67"/>
  <c r="K33" i="67"/>
  <c r="K33" i="66"/>
  <c r="T32" i="66"/>
  <c r="I32" i="66"/>
  <c r="D60" i="28"/>
  <c r="D38" i="28"/>
  <c r="T33" i="65" s="1"/>
  <c r="V33" i="65" s="1"/>
  <c r="T33" i="66" l="1"/>
  <c r="V33" i="66" s="1"/>
  <c r="T33" i="67"/>
  <c r="V33" i="67" s="1"/>
  <c r="T33" i="2"/>
  <c r="V32" i="65"/>
  <c r="T30" i="65"/>
  <c r="V30" i="65" s="1"/>
  <c r="V33" i="2"/>
  <c r="T30" i="2"/>
  <c r="V30" i="2" s="1"/>
  <c r="V32" i="67"/>
  <c r="T30" i="67"/>
  <c r="V30" i="67" s="1"/>
  <c r="D37" i="28"/>
  <c r="T30" i="66"/>
  <c r="P16" i="67" l="1"/>
  <c r="K27" i="2"/>
  <c r="K27" i="67" l="1"/>
  <c r="K27" i="75"/>
  <c r="K27" i="73"/>
  <c r="K27" i="55"/>
  <c r="V27" i="65"/>
  <c r="K48" i="65"/>
  <c r="K47" i="65"/>
  <c r="K36" i="65"/>
  <c r="K35" i="65"/>
  <c r="K27" i="65"/>
  <c r="K48" i="2"/>
  <c r="K47" i="2"/>
  <c r="K36" i="2"/>
  <c r="K35" i="2"/>
  <c r="K35" i="74"/>
  <c r="V27" i="67"/>
  <c r="K48" i="67"/>
  <c r="K47" i="67"/>
  <c r="K36" i="67"/>
  <c r="K35" i="67"/>
  <c r="V27" i="66"/>
  <c r="K48" i="66"/>
  <c r="K47" i="66"/>
  <c r="K36" i="66"/>
  <c r="K35" i="66"/>
  <c r="K27" i="66"/>
  <c r="I16" i="73" l="1"/>
  <c r="T16" i="67"/>
  <c r="F34" i="24"/>
  <c r="P34" i="24" l="1"/>
  <c r="O34" i="24"/>
  <c r="I16" i="75"/>
  <c r="I16" i="74"/>
  <c r="T16" i="66"/>
  <c r="D81" i="28" l="1"/>
  <c r="D80" i="28"/>
  <c r="D79" i="28"/>
  <c r="D78" i="28"/>
  <c r="D77" i="28"/>
  <c r="D76" i="28"/>
  <c r="D75" i="28"/>
  <c r="D74" i="28"/>
  <c r="D73" i="28"/>
  <c r="D72" i="28"/>
  <c r="D70" i="28"/>
  <c r="D69" i="28"/>
  <c r="D68" i="28"/>
  <c r="D66" i="28"/>
  <c r="D64" i="28"/>
  <c r="D63" i="28"/>
  <c r="D62" i="28"/>
  <c r="D61" i="28"/>
  <c r="D59" i="28"/>
  <c r="D58" i="28"/>
  <c r="D57" i="28"/>
  <c r="D56" i="28"/>
  <c r="D35" i="28"/>
  <c r="D34" i="28"/>
  <c r="D33" i="28"/>
  <c r="I35" i="73" l="1"/>
  <c r="K35" i="73" s="1"/>
  <c r="I35" i="55"/>
  <c r="K35" i="55" s="1"/>
  <c r="T36" i="2"/>
  <c r="V36" i="2" s="1"/>
  <c r="T36" i="66"/>
  <c r="V36" i="66" s="1"/>
  <c r="T36" i="65"/>
  <c r="V36" i="65" s="1"/>
  <c r="T36" i="67"/>
  <c r="V36" i="67" s="1"/>
  <c r="I30" i="75"/>
  <c r="K30" i="75" s="1"/>
  <c r="I30" i="73"/>
  <c r="K30" i="73" s="1"/>
  <c r="I30" i="55"/>
  <c r="I33" i="75"/>
  <c r="K33" i="75" s="1"/>
  <c r="I33" i="55"/>
  <c r="I33" i="73"/>
  <c r="K33" i="73" s="1"/>
  <c r="I32" i="73"/>
  <c r="K32" i="73" s="1"/>
  <c r="I32" i="55"/>
  <c r="I32" i="75"/>
  <c r="K32" i="75" s="1"/>
  <c r="T31" i="2"/>
  <c r="V31" i="2" s="1"/>
  <c r="T31" i="67"/>
  <c r="V31" i="67" s="1"/>
  <c r="T31" i="65"/>
  <c r="V31" i="65" s="1"/>
  <c r="T31" i="66"/>
  <c r="T35" i="65"/>
  <c r="V35" i="65" s="1"/>
  <c r="T35" i="67"/>
  <c r="V35" i="67" s="1"/>
  <c r="T35" i="66"/>
  <c r="V35" i="66" s="1"/>
  <c r="T35" i="2"/>
  <c r="V35" i="2" s="1"/>
  <c r="T34" i="65"/>
  <c r="V34" i="65" s="1"/>
  <c r="T34" i="67"/>
  <c r="V34" i="67" s="1"/>
  <c r="T34" i="2"/>
  <c r="V34" i="2" s="1"/>
  <c r="T34" i="66"/>
  <c r="V34" i="66" s="1"/>
  <c r="I34" i="75"/>
  <c r="K34" i="75" s="1"/>
  <c r="I34" i="55"/>
  <c r="I34" i="73"/>
  <c r="K34" i="73" s="1"/>
  <c r="P38" i="24"/>
  <c r="P36" i="24"/>
  <c r="P31" i="24"/>
  <c r="P28" i="24"/>
  <c r="P25" i="24"/>
  <c r="P22" i="24"/>
  <c r="P19" i="24"/>
  <c r="O38" i="24"/>
  <c r="O36" i="24"/>
  <c r="O31" i="24"/>
  <c r="O28" i="24"/>
  <c r="O25" i="24"/>
  <c r="O22" i="24"/>
  <c r="O19" i="24"/>
  <c r="I21" i="74" l="1"/>
  <c r="B68" i="58" l="1"/>
  <c r="K65" i="55" l="1"/>
  <c r="K65" i="73"/>
  <c r="K65" i="75"/>
  <c r="K65" i="74"/>
  <c r="K64" i="55"/>
  <c r="K64" i="73"/>
  <c r="K64" i="75"/>
  <c r="K64" i="74"/>
  <c r="V66" i="67"/>
  <c r="V65" i="67"/>
  <c r="V66" i="2"/>
  <c r="V65" i="2"/>
  <c r="V66" i="65"/>
  <c r="V65" i="65"/>
  <c r="V66" i="66"/>
  <c r="V65" i="66"/>
  <c r="K66" i="67"/>
  <c r="K65" i="67"/>
  <c r="K66" i="2"/>
  <c r="K65" i="2"/>
  <c r="K66" i="65"/>
  <c r="K65" i="65"/>
  <c r="K66" i="66"/>
  <c r="K65" i="66"/>
  <c r="R36" i="58" l="1"/>
  <c r="L36" i="58" s="1"/>
  <c r="M36" i="58" s="1"/>
  <c r="R35" i="58"/>
  <c r="L35" i="58" s="1"/>
  <c r="M35" i="58" s="1"/>
  <c r="R34" i="58"/>
  <c r="L34" i="58" s="1"/>
  <c r="M34" i="58" s="1"/>
  <c r="R33" i="58"/>
  <c r="L33" i="58" s="1"/>
  <c r="M33" i="58" s="1"/>
  <c r="R32" i="58"/>
  <c r="L32" i="58" s="1"/>
  <c r="M32" i="58" s="1"/>
  <c r="R31" i="58"/>
  <c r="L31" i="58" s="1"/>
  <c r="M31" i="58" s="1"/>
  <c r="R28" i="58"/>
  <c r="L28" i="58" s="1"/>
  <c r="M28" i="58" s="1"/>
  <c r="R27" i="58"/>
  <c r="L27" i="58" s="1"/>
  <c r="M27" i="58" s="1"/>
  <c r="R26" i="58"/>
  <c r="L26" i="58" s="1"/>
  <c r="M26" i="58" s="1"/>
  <c r="R25" i="58"/>
  <c r="L25" i="58" s="1"/>
  <c r="M25" i="58" s="1"/>
  <c r="R24" i="58"/>
  <c r="L24" i="58" s="1"/>
  <c r="M24" i="58" s="1"/>
  <c r="R23" i="58"/>
  <c r="L23" i="58" s="1"/>
  <c r="M23" i="58" s="1"/>
  <c r="R22" i="58"/>
  <c r="L22" i="58" s="1"/>
  <c r="M22" i="58" s="1"/>
  <c r="R21" i="58"/>
  <c r="L21" i="58" s="1"/>
  <c r="M21" i="58" s="1"/>
  <c r="R20" i="58"/>
  <c r="L20" i="58" s="1"/>
  <c r="M20" i="58" s="1"/>
  <c r="R19" i="58"/>
  <c r="L19" i="58" s="1"/>
  <c r="M19" i="58" s="1"/>
  <c r="R18" i="58"/>
  <c r="L18" i="58" s="1"/>
  <c r="M18" i="58" s="1"/>
  <c r="R17" i="58"/>
  <c r="L17" i="58" s="1"/>
  <c r="M17" i="58" s="1"/>
  <c r="Q36" i="58"/>
  <c r="J36" i="58" s="1"/>
  <c r="K36" i="58" s="1"/>
  <c r="I36" i="58" s="1"/>
  <c r="Q35" i="58"/>
  <c r="J35" i="58" s="1"/>
  <c r="K35" i="58" s="1"/>
  <c r="I35" i="58" s="1"/>
  <c r="Q34" i="58"/>
  <c r="J34" i="58" s="1"/>
  <c r="K34" i="58" s="1"/>
  <c r="I34" i="58" s="1"/>
  <c r="Q33" i="58"/>
  <c r="J33" i="58" s="1"/>
  <c r="K33" i="58" s="1"/>
  <c r="I33" i="58" s="1"/>
  <c r="Q32" i="58"/>
  <c r="J32" i="58" s="1"/>
  <c r="K32" i="58" s="1"/>
  <c r="I32" i="58" s="1"/>
  <c r="Q31" i="58"/>
  <c r="J31" i="58" s="1"/>
  <c r="K31" i="58" s="1"/>
  <c r="I31" i="58" s="1"/>
  <c r="Q28" i="58"/>
  <c r="J28" i="58" s="1"/>
  <c r="K28" i="58" s="1"/>
  <c r="I28" i="58" s="1"/>
  <c r="Q27" i="58"/>
  <c r="J27" i="58" s="1"/>
  <c r="K27" i="58" s="1"/>
  <c r="I27" i="58" s="1"/>
  <c r="Q26" i="58"/>
  <c r="J26" i="58" s="1"/>
  <c r="K26" i="58" s="1"/>
  <c r="I26" i="58" s="1"/>
  <c r="Q25" i="58"/>
  <c r="J25" i="58" s="1"/>
  <c r="K25" i="58" s="1"/>
  <c r="I25" i="58" s="1"/>
  <c r="Q24" i="58"/>
  <c r="J24" i="58" s="1"/>
  <c r="K24" i="58" s="1"/>
  <c r="I24" i="58" s="1"/>
  <c r="Q23" i="58"/>
  <c r="J23" i="58" s="1"/>
  <c r="K23" i="58" s="1"/>
  <c r="I23" i="58" s="1"/>
  <c r="Q22" i="58"/>
  <c r="J22" i="58" s="1"/>
  <c r="K22" i="58" s="1"/>
  <c r="I22" i="58" s="1"/>
  <c r="Q21" i="58"/>
  <c r="J21" i="58" s="1"/>
  <c r="K21" i="58" s="1"/>
  <c r="I21" i="58" s="1"/>
  <c r="Q20" i="58"/>
  <c r="J20" i="58" s="1"/>
  <c r="K20" i="58" s="1"/>
  <c r="I20" i="58" s="1"/>
  <c r="Q19" i="58"/>
  <c r="J19" i="58" s="1"/>
  <c r="K19" i="58" s="1"/>
  <c r="I19" i="58" s="1"/>
  <c r="Q18" i="58"/>
  <c r="J18" i="58" s="1"/>
  <c r="K18" i="58" s="1"/>
  <c r="I18" i="58" s="1"/>
  <c r="Q17" i="58"/>
  <c r="J17" i="58" s="1"/>
  <c r="K17" i="58" s="1"/>
  <c r="I17" i="58" s="1"/>
  <c r="I53" i="62"/>
  <c r="J53" i="62" s="1"/>
  <c r="I52" i="62"/>
  <c r="J52" i="62" s="1"/>
  <c r="I51" i="62"/>
  <c r="J51" i="62" s="1"/>
  <c r="I50" i="62"/>
  <c r="J50" i="62" s="1"/>
  <c r="I49" i="62"/>
  <c r="J49" i="62" s="1"/>
  <c r="I48" i="62"/>
  <c r="J48" i="62" s="1"/>
  <c r="I47" i="62"/>
  <c r="J47" i="62" s="1"/>
  <c r="I46" i="62"/>
  <c r="J46" i="62" s="1"/>
  <c r="I45" i="62"/>
  <c r="J45" i="62" s="1"/>
  <c r="I44" i="62"/>
  <c r="J44" i="62" s="1"/>
  <c r="I43" i="62"/>
  <c r="J43" i="62" s="1"/>
  <c r="I42" i="62"/>
  <c r="J42" i="62" s="1"/>
  <c r="J55" i="62" l="1"/>
  <c r="E53" i="55"/>
  <c r="E53" i="73"/>
  <c r="E53" i="75"/>
  <c r="K34" i="55" l="1"/>
  <c r="K34" i="74"/>
  <c r="K33" i="74"/>
  <c r="K64" i="67"/>
  <c r="K63" i="67" s="1"/>
  <c r="K64" i="65"/>
  <c r="K63" i="65" s="1"/>
  <c r="K64" i="2"/>
  <c r="K63" i="2" s="1"/>
  <c r="K64" i="66"/>
  <c r="K63" i="66" s="1"/>
  <c r="V26" i="67"/>
  <c r="V26" i="65"/>
  <c r="V26" i="2"/>
  <c r="V26" i="66"/>
  <c r="T57" i="66"/>
  <c r="T57" i="67"/>
  <c r="I21" i="75" l="1"/>
  <c r="I26" i="75"/>
  <c r="K26" i="75" s="1"/>
  <c r="I25" i="75"/>
  <c r="I24" i="75"/>
  <c r="I21" i="73" l="1"/>
  <c r="I26" i="73"/>
  <c r="K26" i="73" s="1"/>
  <c r="I25" i="73"/>
  <c r="I24" i="73"/>
  <c r="K33" i="55"/>
  <c r="K30" i="55"/>
  <c r="I25" i="66"/>
  <c r="I25" i="67"/>
  <c r="I25" i="2"/>
  <c r="I25" i="65"/>
  <c r="I25" i="55"/>
  <c r="I26" i="55"/>
  <c r="K26" i="55" s="1"/>
  <c r="I24" i="55"/>
  <c r="I21" i="55"/>
  <c r="I30" i="65"/>
  <c r="I30" i="2"/>
  <c r="I26" i="2"/>
  <c r="K26" i="2" s="1"/>
  <c r="I24" i="2"/>
  <c r="K31" i="74"/>
  <c r="I30" i="74"/>
  <c r="K30" i="74" s="1"/>
  <c r="I27" i="74"/>
  <c r="K27" i="74" s="1"/>
  <c r="I26" i="74"/>
  <c r="K26" i="74" s="1"/>
  <c r="I25" i="74"/>
  <c r="I24" i="74"/>
  <c r="I26" i="65"/>
  <c r="K26" i="65" s="1"/>
  <c r="I24" i="65"/>
  <c r="I30" i="67"/>
  <c r="I26" i="67"/>
  <c r="K26" i="67" s="1"/>
  <c r="I24" i="67"/>
  <c r="I26" i="66"/>
  <c r="K26" i="66" s="1"/>
  <c r="B396" i="58"/>
  <c r="H381" i="58"/>
  <c r="F381" i="58"/>
  <c r="E381" i="58"/>
  <c r="D381" i="58"/>
  <c r="B381" i="58"/>
  <c r="B368" i="58"/>
  <c r="H353" i="58"/>
  <c r="F353" i="58"/>
  <c r="E353" i="58"/>
  <c r="D353" i="58"/>
  <c r="B353" i="58"/>
  <c r="B340" i="58"/>
  <c r="H326" i="58"/>
  <c r="F326" i="58"/>
  <c r="E326" i="58"/>
  <c r="D326" i="58"/>
  <c r="B326" i="58"/>
  <c r="B312" i="58"/>
  <c r="H269" i="58"/>
  <c r="F269" i="58"/>
  <c r="E269" i="58"/>
  <c r="D269" i="58"/>
  <c r="B269" i="58"/>
  <c r="B284" i="58"/>
  <c r="H297" i="58"/>
  <c r="F297" i="58"/>
  <c r="E297" i="58"/>
  <c r="D297" i="58"/>
  <c r="B297" i="58"/>
  <c r="B256" i="58"/>
  <c r="H241" i="58"/>
  <c r="F241" i="58"/>
  <c r="E241" i="58"/>
  <c r="D241" i="58"/>
  <c r="B241" i="58"/>
  <c r="B228" i="58"/>
  <c r="H213" i="58"/>
  <c r="F213" i="58"/>
  <c r="E213" i="58"/>
  <c r="D213" i="58"/>
  <c r="B213" i="58"/>
  <c r="B198" i="58"/>
  <c r="H183" i="58"/>
  <c r="F183" i="58"/>
  <c r="E183" i="58"/>
  <c r="D183" i="58"/>
  <c r="B183" i="58"/>
  <c r="B170" i="58"/>
  <c r="H155" i="58"/>
  <c r="F155" i="58"/>
  <c r="E155" i="58"/>
  <c r="D155" i="58"/>
  <c r="B155" i="58"/>
  <c r="B127" i="58"/>
  <c r="D127" i="58"/>
  <c r="E127" i="58"/>
  <c r="F127" i="58"/>
  <c r="H127" i="58"/>
  <c r="B142" i="58"/>
  <c r="H99" i="58"/>
  <c r="F99" i="58"/>
  <c r="E99" i="58"/>
  <c r="D99" i="58"/>
  <c r="B99" i="58"/>
  <c r="B114" i="58"/>
  <c r="H96" i="58"/>
  <c r="F96" i="58"/>
  <c r="E96" i="58"/>
  <c r="D96" i="58"/>
  <c r="B96" i="58"/>
  <c r="H71" i="58"/>
  <c r="F71" i="58"/>
  <c r="E71" i="58"/>
  <c r="D71" i="58"/>
  <c r="B71" i="58"/>
  <c r="H68" i="58"/>
  <c r="F68" i="58"/>
  <c r="E68" i="58"/>
  <c r="D68" i="58"/>
  <c r="D37" i="58"/>
  <c r="E37" i="58"/>
  <c r="F37" i="58"/>
  <c r="H37" i="58"/>
  <c r="G22" i="58"/>
  <c r="M71" i="58"/>
  <c r="I71" i="58"/>
  <c r="AA30" i="58"/>
  <c r="Z30" i="58"/>
  <c r="Y30" i="58"/>
  <c r="Y39" i="58" s="1"/>
  <c r="X30" i="58"/>
  <c r="X39" i="58" s="1"/>
  <c r="W30" i="58"/>
  <c r="W39" i="58" s="1"/>
  <c r="V30" i="58"/>
  <c r="V39" i="58" s="1"/>
  <c r="H377" i="58"/>
  <c r="F377" i="58"/>
  <c r="E377" i="58"/>
  <c r="D377" i="58"/>
  <c r="B377" i="58"/>
  <c r="H376" i="58"/>
  <c r="F376" i="58"/>
  <c r="E376" i="58"/>
  <c r="D376" i="58"/>
  <c r="B376" i="58"/>
  <c r="H349" i="58"/>
  <c r="F349" i="58"/>
  <c r="E349" i="58"/>
  <c r="D349" i="58"/>
  <c r="B349" i="58"/>
  <c r="H348" i="58"/>
  <c r="F348" i="58"/>
  <c r="E348" i="58"/>
  <c r="D348" i="58"/>
  <c r="B348" i="58"/>
  <c r="H321" i="58"/>
  <c r="F321" i="58"/>
  <c r="E321" i="58"/>
  <c r="D321" i="58"/>
  <c r="B321" i="58"/>
  <c r="H320" i="58"/>
  <c r="F320" i="58"/>
  <c r="E320" i="58"/>
  <c r="D320" i="58"/>
  <c r="B320" i="58"/>
  <c r="H293" i="58"/>
  <c r="F293" i="58"/>
  <c r="E293" i="58"/>
  <c r="D293" i="58"/>
  <c r="B293" i="58"/>
  <c r="H292" i="58"/>
  <c r="F292" i="58"/>
  <c r="E292" i="58"/>
  <c r="D292" i="58"/>
  <c r="B292" i="58"/>
  <c r="H265" i="58"/>
  <c r="F265" i="58"/>
  <c r="E265" i="58"/>
  <c r="D265" i="58"/>
  <c r="B265" i="58"/>
  <c r="H264" i="58"/>
  <c r="F264" i="58"/>
  <c r="E264" i="58"/>
  <c r="D264" i="58"/>
  <c r="B264" i="58"/>
  <c r="H237" i="58"/>
  <c r="F237" i="58"/>
  <c r="E237" i="58"/>
  <c r="D237" i="58"/>
  <c r="B237" i="58"/>
  <c r="H236" i="58"/>
  <c r="F236" i="58"/>
  <c r="E236" i="58"/>
  <c r="D236" i="58"/>
  <c r="B236" i="58"/>
  <c r="H209" i="58"/>
  <c r="F209" i="58"/>
  <c r="E209" i="58"/>
  <c r="D209" i="58"/>
  <c r="B209" i="58"/>
  <c r="H208" i="58"/>
  <c r="F208" i="58"/>
  <c r="E208" i="58"/>
  <c r="D208" i="58"/>
  <c r="B208" i="58"/>
  <c r="H179" i="58"/>
  <c r="F179" i="58"/>
  <c r="E179" i="58"/>
  <c r="D179" i="58"/>
  <c r="B179" i="58"/>
  <c r="H178" i="58"/>
  <c r="F178" i="58"/>
  <c r="E178" i="58"/>
  <c r="D178" i="58"/>
  <c r="B178" i="58"/>
  <c r="H151" i="58"/>
  <c r="F151" i="58"/>
  <c r="E151" i="58"/>
  <c r="D151" i="58"/>
  <c r="B151" i="58"/>
  <c r="H150" i="58"/>
  <c r="F150" i="58"/>
  <c r="E150" i="58"/>
  <c r="D150" i="58"/>
  <c r="B150" i="58"/>
  <c r="H123" i="58"/>
  <c r="F123" i="58"/>
  <c r="E123" i="58"/>
  <c r="D123" i="58"/>
  <c r="B123" i="58"/>
  <c r="H122" i="58"/>
  <c r="F122" i="58"/>
  <c r="E122" i="58"/>
  <c r="D122" i="58"/>
  <c r="B122" i="58"/>
  <c r="H95" i="58"/>
  <c r="F95" i="58"/>
  <c r="E95" i="58"/>
  <c r="D95" i="58"/>
  <c r="B95" i="58"/>
  <c r="H94" i="58"/>
  <c r="F94" i="58"/>
  <c r="E94" i="58"/>
  <c r="D94" i="58"/>
  <c r="B94" i="58"/>
  <c r="K31" i="55" l="1"/>
  <c r="Z39" i="58"/>
  <c r="R29" i="58"/>
  <c r="L29" i="58" s="1"/>
  <c r="M29" i="58" s="1"/>
  <c r="AA39" i="58"/>
  <c r="Q29" i="58"/>
  <c r="J29" i="58" s="1"/>
  <c r="K29" i="58" s="1"/>
  <c r="I29" i="58" s="1"/>
  <c r="G381" i="58"/>
  <c r="I381" i="58"/>
  <c r="M381" i="58"/>
  <c r="K381" i="58"/>
  <c r="L381" i="58"/>
  <c r="J381" i="58"/>
  <c r="G353" i="58"/>
  <c r="K353" i="58"/>
  <c r="G269" i="58"/>
  <c r="L353" i="58"/>
  <c r="I353" i="58"/>
  <c r="M353" i="58"/>
  <c r="J353" i="58"/>
  <c r="G326" i="58"/>
  <c r="K326" i="58"/>
  <c r="L326" i="58"/>
  <c r="I326" i="58"/>
  <c r="M326" i="58"/>
  <c r="J326" i="58"/>
  <c r="K269" i="58"/>
  <c r="L269" i="58"/>
  <c r="I269" i="58"/>
  <c r="M269" i="58"/>
  <c r="J269" i="58"/>
  <c r="G297" i="58"/>
  <c r="L297" i="58"/>
  <c r="M297" i="58"/>
  <c r="I297" i="58"/>
  <c r="J297" i="58"/>
  <c r="K297" i="58"/>
  <c r="I241" i="58"/>
  <c r="G241" i="58"/>
  <c r="M241" i="58"/>
  <c r="K241" i="58"/>
  <c r="L241" i="58"/>
  <c r="J241" i="58"/>
  <c r="G183" i="58"/>
  <c r="I213" i="58"/>
  <c r="G213" i="58"/>
  <c r="M213" i="58"/>
  <c r="K213" i="58"/>
  <c r="L213" i="58"/>
  <c r="J213" i="58"/>
  <c r="K183" i="58"/>
  <c r="L183" i="58"/>
  <c r="I183" i="58"/>
  <c r="M183" i="58"/>
  <c r="J183" i="58"/>
  <c r="M127" i="58"/>
  <c r="G127" i="58"/>
  <c r="G155" i="58"/>
  <c r="L155" i="58"/>
  <c r="I127" i="58"/>
  <c r="K155" i="58"/>
  <c r="L127" i="58"/>
  <c r="G96" i="58"/>
  <c r="J127" i="58"/>
  <c r="M155" i="58"/>
  <c r="I155" i="58"/>
  <c r="K127" i="58"/>
  <c r="J155" i="58"/>
  <c r="G99" i="58"/>
  <c r="K99" i="58"/>
  <c r="L99" i="58"/>
  <c r="I99" i="58"/>
  <c r="M99" i="58"/>
  <c r="J99" i="58"/>
  <c r="K71" i="58"/>
  <c r="N71" i="58" s="1"/>
  <c r="J71" i="58"/>
  <c r="G71" i="58"/>
  <c r="L71" i="58"/>
  <c r="G68" i="58"/>
  <c r="N22" i="58"/>
  <c r="O22" i="58" s="1"/>
  <c r="G265" i="58"/>
  <c r="G321" i="58"/>
  <c r="G348" i="58"/>
  <c r="G377" i="58"/>
  <c r="G376" i="58"/>
  <c r="G320" i="58"/>
  <c r="G349" i="58"/>
  <c r="G264" i="58"/>
  <c r="G236" i="58"/>
  <c r="G292" i="58"/>
  <c r="G293" i="58"/>
  <c r="G179" i="58"/>
  <c r="G237" i="58"/>
  <c r="G209" i="58"/>
  <c r="G178" i="58"/>
  <c r="G208" i="58"/>
  <c r="G123" i="58"/>
  <c r="G151" i="58"/>
  <c r="G150" i="58"/>
  <c r="G122" i="58"/>
  <c r="G95" i="58"/>
  <c r="G94" i="58"/>
  <c r="H67" i="58"/>
  <c r="F67" i="58"/>
  <c r="E67" i="58"/>
  <c r="D67" i="58"/>
  <c r="H66" i="58"/>
  <c r="F66" i="58"/>
  <c r="E66" i="58"/>
  <c r="D66" i="58"/>
  <c r="B66" i="58"/>
  <c r="B67" i="58"/>
  <c r="G17" i="58"/>
  <c r="N381" i="58" l="1"/>
  <c r="N353" i="58"/>
  <c r="N269" i="58"/>
  <c r="N326" i="58"/>
  <c r="N297" i="58"/>
  <c r="N241" i="58"/>
  <c r="N213" i="58"/>
  <c r="N183" i="58"/>
  <c r="N127" i="58"/>
  <c r="N155" i="58"/>
  <c r="N99" i="58"/>
  <c r="L348" i="58"/>
  <c r="L376" i="58"/>
  <c r="J348" i="58"/>
  <c r="J376" i="58"/>
  <c r="L292" i="58"/>
  <c r="L320" i="58"/>
  <c r="J292" i="58"/>
  <c r="J320" i="58"/>
  <c r="L236" i="58"/>
  <c r="L264" i="58"/>
  <c r="J236" i="58"/>
  <c r="J264" i="58"/>
  <c r="J178" i="58"/>
  <c r="J208" i="58"/>
  <c r="L178" i="58"/>
  <c r="L208" i="58"/>
  <c r="J122" i="58"/>
  <c r="J150" i="58"/>
  <c r="L122" i="58"/>
  <c r="L150" i="58"/>
  <c r="J94" i="58"/>
  <c r="L94" i="58"/>
  <c r="J66" i="58"/>
  <c r="L66" i="58"/>
  <c r="G66" i="58"/>
  <c r="G67" i="58"/>
  <c r="H387" i="58"/>
  <c r="F387" i="58"/>
  <c r="E387" i="58"/>
  <c r="D387" i="58"/>
  <c r="B387" i="58"/>
  <c r="H359" i="58"/>
  <c r="F359" i="58"/>
  <c r="E359" i="58"/>
  <c r="D359" i="58"/>
  <c r="B359" i="58"/>
  <c r="H331" i="58"/>
  <c r="F331" i="58"/>
  <c r="E331" i="58"/>
  <c r="D331" i="58"/>
  <c r="B331" i="58"/>
  <c r="H303" i="58"/>
  <c r="F303" i="58"/>
  <c r="E303" i="58"/>
  <c r="D303" i="58"/>
  <c r="B303" i="58"/>
  <c r="H275" i="58"/>
  <c r="F275" i="58"/>
  <c r="E275" i="58"/>
  <c r="D275" i="58"/>
  <c r="B275" i="58"/>
  <c r="H247" i="58"/>
  <c r="F247" i="58"/>
  <c r="E247" i="58"/>
  <c r="D247" i="58"/>
  <c r="B247" i="58"/>
  <c r="H219" i="58"/>
  <c r="F219" i="58"/>
  <c r="E219" i="58"/>
  <c r="D219" i="58"/>
  <c r="B219" i="58"/>
  <c r="H189" i="58"/>
  <c r="F189" i="58"/>
  <c r="E189" i="58"/>
  <c r="D189" i="58"/>
  <c r="B189" i="58"/>
  <c r="H161" i="58"/>
  <c r="F161" i="58"/>
  <c r="E161" i="58"/>
  <c r="D161" i="58"/>
  <c r="B161" i="58"/>
  <c r="H133" i="58"/>
  <c r="F133" i="58"/>
  <c r="E133" i="58"/>
  <c r="D133" i="58"/>
  <c r="B133" i="58"/>
  <c r="H105" i="58"/>
  <c r="F105" i="58"/>
  <c r="E105" i="58"/>
  <c r="D105" i="58"/>
  <c r="B105" i="58"/>
  <c r="H77" i="58"/>
  <c r="F77" i="58"/>
  <c r="E77" i="58"/>
  <c r="D77" i="58"/>
  <c r="B77" i="58"/>
  <c r="M77" i="58"/>
  <c r="I77" i="58"/>
  <c r="G28" i="58"/>
  <c r="M348" i="58" l="1"/>
  <c r="M376" i="58"/>
  <c r="K348" i="58"/>
  <c r="K376" i="58"/>
  <c r="M292" i="58"/>
  <c r="M320" i="58"/>
  <c r="K292" i="58"/>
  <c r="K320" i="58"/>
  <c r="M236" i="58"/>
  <c r="M264" i="58"/>
  <c r="K236" i="58"/>
  <c r="K264" i="58"/>
  <c r="M178" i="58"/>
  <c r="M208" i="58"/>
  <c r="K178" i="58"/>
  <c r="K208" i="58"/>
  <c r="M122" i="58"/>
  <c r="M150" i="58"/>
  <c r="M94" i="58"/>
  <c r="I376" i="58"/>
  <c r="K150" i="58"/>
  <c r="K94" i="58"/>
  <c r="M66" i="58"/>
  <c r="K66" i="58"/>
  <c r="K122" i="58"/>
  <c r="G275" i="58"/>
  <c r="G303" i="58"/>
  <c r="G331" i="58"/>
  <c r="G359" i="58"/>
  <c r="G219" i="58"/>
  <c r="G247" i="58"/>
  <c r="G387" i="58"/>
  <c r="K387" i="58"/>
  <c r="L387" i="58"/>
  <c r="I387" i="58"/>
  <c r="M387" i="58"/>
  <c r="J387" i="58"/>
  <c r="K359" i="58"/>
  <c r="L359" i="58"/>
  <c r="I359" i="58"/>
  <c r="M359" i="58"/>
  <c r="J359" i="58"/>
  <c r="K331" i="58"/>
  <c r="L331" i="58"/>
  <c r="I331" i="58"/>
  <c r="M331" i="58"/>
  <c r="J331" i="58"/>
  <c r="K303" i="58"/>
  <c r="L303" i="58"/>
  <c r="I303" i="58"/>
  <c r="M303" i="58"/>
  <c r="J275" i="58"/>
  <c r="J303" i="58"/>
  <c r="K275" i="58"/>
  <c r="L275" i="58"/>
  <c r="I275" i="58"/>
  <c r="M275" i="58"/>
  <c r="J247" i="58"/>
  <c r="K247" i="58"/>
  <c r="L247" i="58"/>
  <c r="I247" i="58"/>
  <c r="M247" i="58"/>
  <c r="G105" i="58"/>
  <c r="G133" i="58"/>
  <c r="G189" i="58"/>
  <c r="G161" i="58"/>
  <c r="K219" i="58"/>
  <c r="L219" i="58"/>
  <c r="I219" i="58"/>
  <c r="M219" i="58"/>
  <c r="J219" i="58"/>
  <c r="K189" i="58"/>
  <c r="L189" i="58"/>
  <c r="I189" i="58"/>
  <c r="M189" i="58"/>
  <c r="J189" i="58"/>
  <c r="K161" i="58"/>
  <c r="L161" i="58"/>
  <c r="I161" i="58"/>
  <c r="M161" i="58"/>
  <c r="J161" i="58"/>
  <c r="K105" i="58"/>
  <c r="K133" i="58"/>
  <c r="L105" i="58"/>
  <c r="L133" i="58"/>
  <c r="I105" i="58"/>
  <c r="M105" i="58"/>
  <c r="I133" i="58"/>
  <c r="M133" i="58"/>
  <c r="J105" i="58"/>
  <c r="J133" i="58"/>
  <c r="J77" i="58"/>
  <c r="K77" i="58"/>
  <c r="N77" i="58" s="1"/>
  <c r="L77" i="58"/>
  <c r="G77" i="58"/>
  <c r="N28" i="58"/>
  <c r="O28" i="58" s="1"/>
  <c r="I31" i="67" l="1"/>
  <c r="I31" i="2"/>
  <c r="I31" i="66"/>
  <c r="I31" i="65"/>
  <c r="N376" i="58"/>
  <c r="I320" i="58"/>
  <c r="I348" i="58"/>
  <c r="I264" i="58"/>
  <c r="I292" i="58"/>
  <c r="I208" i="58"/>
  <c r="I236" i="58"/>
  <c r="I150" i="58"/>
  <c r="I178" i="58"/>
  <c r="I122" i="58"/>
  <c r="I66" i="58"/>
  <c r="I94" i="58"/>
  <c r="N17" i="58"/>
  <c r="O17" i="58" s="1"/>
  <c r="N387" i="58"/>
  <c r="N359" i="58"/>
  <c r="N331" i="58"/>
  <c r="N303" i="58"/>
  <c r="N247" i="58"/>
  <c r="N275" i="58"/>
  <c r="N219" i="58"/>
  <c r="N189" i="58"/>
  <c r="N161" i="58"/>
  <c r="N133" i="58"/>
  <c r="N105" i="58"/>
  <c r="J75" i="62"/>
  <c r="J74" i="62"/>
  <c r="E75" i="62"/>
  <c r="E74" i="62"/>
  <c r="N348" i="58" l="1"/>
  <c r="N320" i="58"/>
  <c r="N292" i="58"/>
  <c r="N264" i="58"/>
  <c r="N236" i="58"/>
  <c r="N208" i="58"/>
  <c r="N178" i="58"/>
  <c r="N150" i="58"/>
  <c r="N122" i="58"/>
  <c r="N94" i="58"/>
  <c r="E76" i="62"/>
  <c r="E78" i="62" s="1"/>
  <c r="E81" i="62" s="1"/>
  <c r="D74" i="62"/>
  <c r="D76" i="62" s="1"/>
  <c r="E77" i="62" l="1"/>
  <c r="E80" i="62" s="1"/>
  <c r="D78" i="62"/>
  <c r="D81" i="62" s="1"/>
  <c r="D77" i="62"/>
  <c r="D80" i="62" s="1"/>
  <c r="I83" i="55" l="1"/>
  <c r="K83" i="55" s="1"/>
  <c r="I83" i="73"/>
  <c r="K83" i="73" s="1"/>
  <c r="I83" i="75"/>
  <c r="K83" i="75" s="1"/>
  <c r="I83" i="74"/>
  <c r="K83" i="74" s="1"/>
  <c r="I80" i="66"/>
  <c r="I80" i="67"/>
  <c r="I80" i="2"/>
  <c r="I80" i="65"/>
  <c r="T84" i="67"/>
  <c r="V84" i="67" s="1"/>
  <c r="T84" i="65"/>
  <c r="V84" i="65" s="1"/>
  <c r="T84" i="2"/>
  <c r="V84" i="2" s="1"/>
  <c r="T84" i="66"/>
  <c r="V84" i="66" s="1"/>
  <c r="I63" i="75"/>
  <c r="I63" i="73"/>
  <c r="I63" i="55"/>
  <c r="I63" i="74"/>
  <c r="H395" i="58"/>
  <c r="F395" i="58"/>
  <c r="E395" i="58"/>
  <c r="D395" i="58"/>
  <c r="B395" i="58"/>
  <c r="H394" i="58"/>
  <c r="F394" i="58"/>
  <c r="E394" i="58"/>
  <c r="D394" i="58"/>
  <c r="B394" i="58"/>
  <c r="H393" i="58"/>
  <c r="F393" i="58"/>
  <c r="E393" i="58"/>
  <c r="D393" i="58"/>
  <c r="B393" i="58"/>
  <c r="H392" i="58"/>
  <c r="F392" i="58"/>
  <c r="E392" i="58"/>
  <c r="D392" i="58"/>
  <c r="B392" i="58"/>
  <c r="H391" i="58"/>
  <c r="F391" i="58"/>
  <c r="E391" i="58"/>
  <c r="D391" i="58"/>
  <c r="B391" i="58"/>
  <c r="H390" i="58"/>
  <c r="F390" i="58"/>
  <c r="E390" i="58"/>
  <c r="D390" i="58"/>
  <c r="B390" i="58"/>
  <c r="B389" i="58"/>
  <c r="H388" i="58"/>
  <c r="F388" i="58"/>
  <c r="E388" i="58"/>
  <c r="D388" i="58"/>
  <c r="B388" i="58"/>
  <c r="H386" i="58"/>
  <c r="F386" i="58"/>
  <c r="E386" i="58"/>
  <c r="D386" i="58"/>
  <c r="B386" i="58"/>
  <c r="H385" i="58"/>
  <c r="F385" i="58"/>
  <c r="E385" i="58"/>
  <c r="D385" i="58"/>
  <c r="B385" i="58"/>
  <c r="H384" i="58"/>
  <c r="F384" i="58"/>
  <c r="E384" i="58"/>
  <c r="D384" i="58"/>
  <c r="B384" i="58"/>
  <c r="H383" i="58"/>
  <c r="F383" i="58"/>
  <c r="E383" i="58"/>
  <c r="D383" i="58"/>
  <c r="B383" i="58"/>
  <c r="H378" i="58"/>
  <c r="F378" i="58"/>
  <c r="E378" i="58"/>
  <c r="D378" i="58"/>
  <c r="B378" i="58"/>
  <c r="H382" i="58"/>
  <c r="F382" i="58"/>
  <c r="E382" i="58"/>
  <c r="D382" i="58"/>
  <c r="B382" i="58"/>
  <c r="H380" i="58"/>
  <c r="F380" i="58"/>
  <c r="E380" i="58"/>
  <c r="D380" i="58"/>
  <c r="B380" i="58"/>
  <c r="H379" i="58"/>
  <c r="F379" i="58"/>
  <c r="E379" i="58"/>
  <c r="D379" i="58"/>
  <c r="B379" i="58"/>
  <c r="B375" i="58"/>
  <c r="M374" i="58"/>
  <c r="L374" i="58"/>
  <c r="K374" i="58"/>
  <c r="J374" i="58"/>
  <c r="N373" i="58"/>
  <c r="L373" i="58"/>
  <c r="J373" i="58"/>
  <c r="I373" i="58"/>
  <c r="H373" i="58"/>
  <c r="G373" i="58"/>
  <c r="F373" i="58"/>
  <c r="E373" i="58"/>
  <c r="D373" i="58"/>
  <c r="B373" i="58"/>
  <c r="O372" i="58"/>
  <c r="H372" i="58"/>
  <c r="H367" i="58"/>
  <c r="F367" i="58"/>
  <c r="E367" i="58"/>
  <c r="D367" i="58"/>
  <c r="B367" i="58"/>
  <c r="H366" i="58"/>
  <c r="F366" i="58"/>
  <c r="E366" i="58"/>
  <c r="D366" i="58"/>
  <c r="B366" i="58"/>
  <c r="H365" i="58"/>
  <c r="F365" i="58"/>
  <c r="E365" i="58"/>
  <c r="D365" i="58"/>
  <c r="B365" i="58"/>
  <c r="H364" i="58"/>
  <c r="F364" i="58"/>
  <c r="E364" i="58"/>
  <c r="D364" i="58"/>
  <c r="B364" i="58"/>
  <c r="H363" i="58"/>
  <c r="F363" i="58"/>
  <c r="E363" i="58"/>
  <c r="D363" i="58"/>
  <c r="B363" i="58"/>
  <c r="H362" i="58"/>
  <c r="F362" i="58"/>
  <c r="E362" i="58"/>
  <c r="D362" i="58"/>
  <c r="B362" i="58"/>
  <c r="B361" i="58"/>
  <c r="H360" i="58"/>
  <c r="F360" i="58"/>
  <c r="E360" i="58"/>
  <c r="D360" i="58"/>
  <c r="B360" i="58"/>
  <c r="H358" i="58"/>
  <c r="F358" i="58"/>
  <c r="E358" i="58"/>
  <c r="D358" i="58"/>
  <c r="B358" i="58"/>
  <c r="H357" i="58"/>
  <c r="F357" i="58"/>
  <c r="E357" i="58"/>
  <c r="D357" i="58"/>
  <c r="B357" i="58"/>
  <c r="H356" i="58"/>
  <c r="F356" i="58"/>
  <c r="E356" i="58"/>
  <c r="D356" i="58"/>
  <c r="B356" i="58"/>
  <c r="H355" i="58"/>
  <c r="F355" i="58"/>
  <c r="E355" i="58"/>
  <c r="D355" i="58"/>
  <c r="B355" i="58"/>
  <c r="H350" i="58"/>
  <c r="F350" i="58"/>
  <c r="E350" i="58"/>
  <c r="D350" i="58"/>
  <c r="B350" i="58"/>
  <c r="H354" i="58"/>
  <c r="F354" i="58"/>
  <c r="E354" i="58"/>
  <c r="D354" i="58"/>
  <c r="B354" i="58"/>
  <c r="H352" i="58"/>
  <c r="F352" i="58"/>
  <c r="E352" i="58"/>
  <c r="D352" i="58"/>
  <c r="B352" i="58"/>
  <c r="H351" i="58"/>
  <c r="F351" i="58"/>
  <c r="E351" i="58"/>
  <c r="D351" i="58"/>
  <c r="B351" i="58"/>
  <c r="B347" i="58"/>
  <c r="M346" i="58"/>
  <c r="L346" i="58"/>
  <c r="K346" i="58"/>
  <c r="J346" i="58"/>
  <c r="N345" i="58"/>
  <c r="L345" i="58"/>
  <c r="J345" i="58"/>
  <c r="I345" i="58"/>
  <c r="H345" i="58"/>
  <c r="G345" i="58"/>
  <c r="F345" i="58"/>
  <c r="E345" i="58"/>
  <c r="D345" i="58"/>
  <c r="B345" i="58"/>
  <c r="O344" i="58"/>
  <c r="H344" i="58"/>
  <c r="H339" i="58"/>
  <c r="F339" i="58"/>
  <c r="E339" i="58"/>
  <c r="D339" i="58"/>
  <c r="B339" i="58"/>
  <c r="H338" i="58"/>
  <c r="F338" i="58"/>
  <c r="E338" i="58"/>
  <c r="D338" i="58"/>
  <c r="B338" i="58"/>
  <c r="H337" i="58"/>
  <c r="F337" i="58"/>
  <c r="E337" i="58"/>
  <c r="D337" i="58"/>
  <c r="B337" i="58"/>
  <c r="H336" i="58"/>
  <c r="F336" i="58"/>
  <c r="E336" i="58"/>
  <c r="D336" i="58"/>
  <c r="B336" i="58"/>
  <c r="H335" i="58"/>
  <c r="F335" i="58"/>
  <c r="E335" i="58"/>
  <c r="D335" i="58"/>
  <c r="B335" i="58"/>
  <c r="H334" i="58"/>
  <c r="F334" i="58"/>
  <c r="E334" i="58"/>
  <c r="D334" i="58"/>
  <c r="B334" i="58"/>
  <c r="B333" i="58"/>
  <c r="H332" i="58"/>
  <c r="F332" i="58"/>
  <c r="E332" i="58"/>
  <c r="D332" i="58"/>
  <c r="B332" i="58"/>
  <c r="H330" i="58"/>
  <c r="F330" i="58"/>
  <c r="E330" i="58"/>
  <c r="D330" i="58"/>
  <c r="B330" i="58"/>
  <c r="H329" i="58"/>
  <c r="F329" i="58"/>
  <c r="E329" i="58"/>
  <c r="D329" i="58"/>
  <c r="B329" i="58"/>
  <c r="H328" i="58"/>
  <c r="F328" i="58"/>
  <c r="E328" i="58"/>
  <c r="D328" i="58"/>
  <c r="B328" i="58"/>
  <c r="H327" i="58"/>
  <c r="H374" i="58" s="1"/>
  <c r="F327" i="58"/>
  <c r="E327" i="58"/>
  <c r="D327" i="58"/>
  <c r="B327" i="58"/>
  <c r="B374" i="58" s="1"/>
  <c r="H322" i="58"/>
  <c r="F322" i="58"/>
  <c r="E322" i="58"/>
  <c r="D322" i="58"/>
  <c r="B322" i="58"/>
  <c r="H325" i="58"/>
  <c r="F325" i="58"/>
  <c r="E325" i="58"/>
  <c r="D325" i="58"/>
  <c r="B325" i="58"/>
  <c r="H324" i="58"/>
  <c r="F324" i="58"/>
  <c r="E324" i="58"/>
  <c r="D324" i="58"/>
  <c r="B324" i="58"/>
  <c r="H323" i="58"/>
  <c r="F323" i="58"/>
  <c r="E323" i="58"/>
  <c r="D323" i="58"/>
  <c r="B323" i="58"/>
  <c r="B319" i="58"/>
  <c r="M318" i="58"/>
  <c r="L318" i="58"/>
  <c r="K318" i="58"/>
  <c r="J318" i="58"/>
  <c r="N317" i="58"/>
  <c r="L317" i="58"/>
  <c r="J317" i="58"/>
  <c r="I317" i="58"/>
  <c r="H317" i="58"/>
  <c r="G317" i="58"/>
  <c r="F317" i="58"/>
  <c r="E317" i="58"/>
  <c r="D317" i="58"/>
  <c r="B317" i="58"/>
  <c r="O316" i="58"/>
  <c r="H316" i="58"/>
  <c r="H311" i="58"/>
  <c r="F311" i="58"/>
  <c r="E311" i="58"/>
  <c r="D311" i="58"/>
  <c r="B311" i="58"/>
  <c r="H310" i="58"/>
  <c r="F310" i="58"/>
  <c r="E310" i="58"/>
  <c r="D310" i="58"/>
  <c r="B310" i="58"/>
  <c r="H309" i="58"/>
  <c r="F309" i="58"/>
  <c r="E309" i="58"/>
  <c r="D309" i="58"/>
  <c r="B309" i="58"/>
  <c r="H308" i="58"/>
  <c r="F308" i="58"/>
  <c r="E308" i="58"/>
  <c r="D308" i="58"/>
  <c r="B308" i="58"/>
  <c r="H307" i="58"/>
  <c r="F307" i="58"/>
  <c r="E307" i="58"/>
  <c r="D307" i="58"/>
  <c r="B307" i="58"/>
  <c r="H306" i="58"/>
  <c r="F306" i="58"/>
  <c r="E306" i="58"/>
  <c r="D306" i="58"/>
  <c r="B306" i="58"/>
  <c r="B305" i="58"/>
  <c r="H304" i="58"/>
  <c r="F304" i="58"/>
  <c r="E304" i="58"/>
  <c r="D304" i="58"/>
  <c r="B304" i="58"/>
  <c r="H302" i="58"/>
  <c r="F302" i="58"/>
  <c r="E302" i="58"/>
  <c r="D302" i="58"/>
  <c r="B302" i="58"/>
  <c r="H301" i="58"/>
  <c r="F301" i="58"/>
  <c r="E301" i="58"/>
  <c r="D301" i="58"/>
  <c r="B301" i="58"/>
  <c r="H300" i="58"/>
  <c r="F300" i="58"/>
  <c r="E300" i="58"/>
  <c r="D300" i="58"/>
  <c r="B300" i="58"/>
  <c r="H299" i="58"/>
  <c r="H346" i="58" s="1"/>
  <c r="F299" i="58"/>
  <c r="E299" i="58"/>
  <c r="D299" i="58"/>
  <c r="B299" i="58"/>
  <c r="B346" i="58" s="1"/>
  <c r="H294" i="58"/>
  <c r="F294" i="58"/>
  <c r="E294" i="58"/>
  <c r="D294" i="58"/>
  <c r="B294" i="58"/>
  <c r="H298" i="58"/>
  <c r="F298" i="58"/>
  <c r="E298" i="58"/>
  <c r="D298" i="58"/>
  <c r="B298" i="58"/>
  <c r="H296" i="58"/>
  <c r="F296" i="58"/>
  <c r="E296" i="58"/>
  <c r="D296" i="58"/>
  <c r="B296" i="58"/>
  <c r="H295" i="58"/>
  <c r="F295" i="58"/>
  <c r="E295" i="58"/>
  <c r="D295" i="58"/>
  <c r="B295" i="58"/>
  <c r="B291" i="58"/>
  <c r="M290" i="58"/>
  <c r="L290" i="58"/>
  <c r="K290" i="58"/>
  <c r="J290" i="58"/>
  <c r="N289" i="58"/>
  <c r="L289" i="58"/>
  <c r="J289" i="58"/>
  <c r="I289" i="58"/>
  <c r="H289" i="58"/>
  <c r="G289" i="58"/>
  <c r="F289" i="58"/>
  <c r="E289" i="58"/>
  <c r="D289" i="58"/>
  <c r="B289" i="58"/>
  <c r="O288" i="58"/>
  <c r="H288" i="58"/>
  <c r="H283" i="58"/>
  <c r="F283" i="58"/>
  <c r="E283" i="58"/>
  <c r="D283" i="58"/>
  <c r="B283" i="58"/>
  <c r="H282" i="58"/>
  <c r="F282" i="58"/>
  <c r="E282" i="58"/>
  <c r="D282" i="58"/>
  <c r="B282" i="58"/>
  <c r="H281" i="58"/>
  <c r="F281" i="58"/>
  <c r="E281" i="58"/>
  <c r="D281" i="58"/>
  <c r="B281" i="58"/>
  <c r="H280" i="58"/>
  <c r="F280" i="58"/>
  <c r="E280" i="58"/>
  <c r="D280" i="58"/>
  <c r="B280" i="58"/>
  <c r="H279" i="58"/>
  <c r="F279" i="58"/>
  <c r="E279" i="58"/>
  <c r="D279" i="58"/>
  <c r="B279" i="58"/>
  <c r="H278" i="58"/>
  <c r="F278" i="58"/>
  <c r="E278" i="58"/>
  <c r="D278" i="58"/>
  <c r="B278" i="58"/>
  <c r="B277" i="58"/>
  <c r="H276" i="58"/>
  <c r="F276" i="58"/>
  <c r="E276" i="58"/>
  <c r="D276" i="58"/>
  <c r="B276" i="58"/>
  <c r="H274" i="58"/>
  <c r="F274" i="58"/>
  <c r="E274" i="58"/>
  <c r="D274" i="58"/>
  <c r="B274" i="58"/>
  <c r="H273" i="58"/>
  <c r="F273" i="58"/>
  <c r="E273" i="58"/>
  <c r="D273" i="58"/>
  <c r="B273" i="58"/>
  <c r="H272" i="58"/>
  <c r="H318" i="58" s="1"/>
  <c r="F272" i="58"/>
  <c r="E272" i="58"/>
  <c r="D272" i="58"/>
  <c r="B272" i="58"/>
  <c r="B318" i="58" s="1"/>
  <c r="H271" i="58"/>
  <c r="F271" i="58"/>
  <c r="E271" i="58"/>
  <c r="D271" i="58"/>
  <c r="B271" i="58"/>
  <c r="H266" i="58"/>
  <c r="F266" i="58"/>
  <c r="E266" i="58"/>
  <c r="D266" i="58"/>
  <c r="B266" i="58"/>
  <c r="H270" i="58"/>
  <c r="F270" i="58"/>
  <c r="E270" i="58"/>
  <c r="D270" i="58"/>
  <c r="B270" i="58"/>
  <c r="H268" i="58"/>
  <c r="F268" i="58"/>
  <c r="E268" i="58"/>
  <c r="D268" i="58"/>
  <c r="B268" i="58"/>
  <c r="H267" i="58"/>
  <c r="F267" i="58"/>
  <c r="E267" i="58"/>
  <c r="D267" i="58"/>
  <c r="B267" i="58"/>
  <c r="B263" i="58"/>
  <c r="M262" i="58"/>
  <c r="L262" i="58"/>
  <c r="K262" i="58"/>
  <c r="J262" i="58"/>
  <c r="N261" i="58"/>
  <c r="L261" i="58"/>
  <c r="J261" i="58"/>
  <c r="I261" i="58"/>
  <c r="H261" i="58"/>
  <c r="G261" i="58"/>
  <c r="F261" i="58"/>
  <c r="E261" i="58"/>
  <c r="D261" i="58"/>
  <c r="B261" i="58"/>
  <c r="O260" i="58"/>
  <c r="H260" i="58"/>
  <c r="H255" i="58"/>
  <c r="F255" i="58"/>
  <c r="E255" i="58"/>
  <c r="D255" i="58"/>
  <c r="B255" i="58"/>
  <c r="H254" i="58"/>
  <c r="F254" i="58"/>
  <c r="E254" i="58"/>
  <c r="D254" i="58"/>
  <c r="B254" i="58"/>
  <c r="H253" i="58"/>
  <c r="F253" i="58"/>
  <c r="E253" i="58"/>
  <c r="D253" i="58"/>
  <c r="B253" i="58"/>
  <c r="H252" i="58"/>
  <c r="F252" i="58"/>
  <c r="E252" i="58"/>
  <c r="D252" i="58"/>
  <c r="B252" i="58"/>
  <c r="H251" i="58"/>
  <c r="F251" i="58"/>
  <c r="E251" i="58"/>
  <c r="D251" i="58"/>
  <c r="B251" i="58"/>
  <c r="H250" i="58"/>
  <c r="F250" i="58"/>
  <c r="E250" i="58"/>
  <c r="D250" i="58"/>
  <c r="B250" i="58"/>
  <c r="B249" i="58"/>
  <c r="H248" i="58"/>
  <c r="F248" i="58"/>
  <c r="E248" i="58"/>
  <c r="D248" i="58"/>
  <c r="B248" i="58"/>
  <c r="H246" i="58"/>
  <c r="F246" i="58"/>
  <c r="E246" i="58"/>
  <c r="D246" i="58"/>
  <c r="B246" i="58"/>
  <c r="H245" i="58"/>
  <c r="F245" i="58"/>
  <c r="E245" i="58"/>
  <c r="D245" i="58"/>
  <c r="B245" i="58"/>
  <c r="H244" i="58"/>
  <c r="H290" i="58" s="1"/>
  <c r="F244" i="58"/>
  <c r="E244" i="58"/>
  <c r="D244" i="58"/>
  <c r="B244" i="58"/>
  <c r="B290" i="58" s="1"/>
  <c r="H243" i="58"/>
  <c r="F243" i="58"/>
  <c r="E243" i="58"/>
  <c r="D243" i="58"/>
  <c r="B243" i="58"/>
  <c r="H238" i="58"/>
  <c r="F238" i="58"/>
  <c r="E238" i="58"/>
  <c r="D238" i="58"/>
  <c r="B238" i="58"/>
  <c r="H242" i="58"/>
  <c r="F242" i="58"/>
  <c r="E242" i="58"/>
  <c r="D242" i="58"/>
  <c r="B242" i="58"/>
  <c r="H240" i="58"/>
  <c r="F240" i="58"/>
  <c r="E240" i="58"/>
  <c r="D240" i="58"/>
  <c r="B240" i="58"/>
  <c r="H239" i="58"/>
  <c r="F239" i="58"/>
  <c r="E239" i="58"/>
  <c r="D239" i="58"/>
  <c r="B239" i="58"/>
  <c r="B235" i="58"/>
  <c r="M234" i="58"/>
  <c r="L234" i="58"/>
  <c r="K234" i="58"/>
  <c r="J234" i="58"/>
  <c r="N233" i="58"/>
  <c r="L233" i="58"/>
  <c r="J233" i="58"/>
  <c r="I233" i="58"/>
  <c r="H233" i="58"/>
  <c r="G233" i="58"/>
  <c r="F233" i="58"/>
  <c r="E233" i="58"/>
  <c r="D233" i="58"/>
  <c r="B233" i="58"/>
  <c r="O232" i="58"/>
  <c r="H232" i="58"/>
  <c r="H227" i="58"/>
  <c r="F227" i="58"/>
  <c r="E227" i="58"/>
  <c r="D227" i="58"/>
  <c r="B227" i="58"/>
  <c r="H226" i="58"/>
  <c r="F226" i="58"/>
  <c r="E226" i="58"/>
  <c r="D226" i="58"/>
  <c r="B226" i="58"/>
  <c r="H225" i="58"/>
  <c r="F225" i="58"/>
  <c r="E225" i="58"/>
  <c r="D225" i="58"/>
  <c r="B225" i="58"/>
  <c r="H224" i="58"/>
  <c r="F224" i="58"/>
  <c r="E224" i="58"/>
  <c r="D224" i="58"/>
  <c r="B224" i="58"/>
  <c r="H223" i="58"/>
  <c r="F223" i="58"/>
  <c r="E223" i="58"/>
  <c r="D223" i="58"/>
  <c r="B223" i="58"/>
  <c r="H222" i="58"/>
  <c r="F222" i="58"/>
  <c r="E222" i="58"/>
  <c r="D222" i="58"/>
  <c r="B222" i="58"/>
  <c r="B221" i="58"/>
  <c r="H220" i="58"/>
  <c r="F220" i="58"/>
  <c r="E220" i="58"/>
  <c r="D220" i="58"/>
  <c r="B220" i="58"/>
  <c r="H218" i="58"/>
  <c r="F218" i="58"/>
  <c r="E218" i="58"/>
  <c r="D218" i="58"/>
  <c r="B218" i="58"/>
  <c r="H217" i="58"/>
  <c r="F217" i="58"/>
  <c r="E217" i="58"/>
  <c r="D217" i="58"/>
  <c r="B217" i="58"/>
  <c r="H216" i="58"/>
  <c r="H262" i="58" s="1"/>
  <c r="F216" i="58"/>
  <c r="E216" i="58"/>
  <c r="D216" i="58"/>
  <c r="B216" i="58"/>
  <c r="B262" i="58" s="1"/>
  <c r="H215" i="58"/>
  <c r="F215" i="58"/>
  <c r="E215" i="58"/>
  <c r="D215" i="58"/>
  <c r="B215" i="58"/>
  <c r="H210" i="58"/>
  <c r="F210" i="58"/>
  <c r="E210" i="58"/>
  <c r="D210" i="58"/>
  <c r="B210" i="58"/>
  <c r="H214" i="58"/>
  <c r="F214" i="58"/>
  <c r="E214" i="58"/>
  <c r="D214" i="58"/>
  <c r="B214" i="58"/>
  <c r="H212" i="58"/>
  <c r="F212" i="58"/>
  <c r="E212" i="58"/>
  <c r="D212" i="58"/>
  <c r="B212" i="58"/>
  <c r="H211" i="58"/>
  <c r="F211" i="58"/>
  <c r="E211" i="58"/>
  <c r="D211" i="58"/>
  <c r="B211" i="58"/>
  <c r="B207" i="58"/>
  <c r="M206" i="58"/>
  <c r="L206" i="58"/>
  <c r="K206" i="58"/>
  <c r="J206" i="58"/>
  <c r="N205" i="58"/>
  <c r="L205" i="58"/>
  <c r="J205" i="58"/>
  <c r="I205" i="58"/>
  <c r="H205" i="58"/>
  <c r="G205" i="58"/>
  <c r="F205" i="58"/>
  <c r="E205" i="58"/>
  <c r="D205" i="58"/>
  <c r="B205" i="58"/>
  <c r="O204" i="58"/>
  <c r="H204" i="58"/>
  <c r="H197" i="58"/>
  <c r="F197" i="58"/>
  <c r="E197" i="58"/>
  <c r="D197" i="58"/>
  <c r="B197" i="58"/>
  <c r="H196" i="58"/>
  <c r="F196" i="58"/>
  <c r="E196" i="58"/>
  <c r="D196" i="58"/>
  <c r="B196" i="58"/>
  <c r="H195" i="58"/>
  <c r="F195" i="58"/>
  <c r="E195" i="58"/>
  <c r="D195" i="58"/>
  <c r="B195" i="58"/>
  <c r="H194" i="58"/>
  <c r="F194" i="58"/>
  <c r="E194" i="58"/>
  <c r="D194" i="58"/>
  <c r="B194" i="58"/>
  <c r="H193" i="58"/>
  <c r="F193" i="58"/>
  <c r="E193" i="58"/>
  <c r="D193" i="58"/>
  <c r="B193" i="58"/>
  <c r="H192" i="58"/>
  <c r="F192" i="58"/>
  <c r="E192" i="58"/>
  <c r="D192" i="58"/>
  <c r="B192" i="58"/>
  <c r="B191" i="58"/>
  <c r="H190" i="58"/>
  <c r="F190" i="58"/>
  <c r="E190" i="58"/>
  <c r="D190" i="58"/>
  <c r="B190" i="58"/>
  <c r="H188" i="58"/>
  <c r="F188" i="58"/>
  <c r="E188" i="58"/>
  <c r="D188" i="58"/>
  <c r="B188" i="58"/>
  <c r="H187" i="58"/>
  <c r="F187" i="58"/>
  <c r="E187" i="58"/>
  <c r="D187" i="58"/>
  <c r="B187" i="58"/>
  <c r="H186" i="58"/>
  <c r="H234" i="58" s="1"/>
  <c r="F186" i="58"/>
  <c r="E186" i="58"/>
  <c r="D186" i="58"/>
  <c r="B186" i="58"/>
  <c r="B234" i="58" s="1"/>
  <c r="H185" i="58"/>
  <c r="F185" i="58"/>
  <c r="E185" i="58"/>
  <c r="D185" i="58"/>
  <c r="B185" i="58"/>
  <c r="H181" i="58"/>
  <c r="F181" i="58"/>
  <c r="E181" i="58"/>
  <c r="D181" i="58"/>
  <c r="B181" i="58"/>
  <c r="H184" i="58"/>
  <c r="F184" i="58"/>
  <c r="E184" i="58"/>
  <c r="D184" i="58"/>
  <c r="B184" i="58"/>
  <c r="H182" i="58"/>
  <c r="F182" i="58"/>
  <c r="E182" i="58"/>
  <c r="D182" i="58"/>
  <c r="B182" i="58"/>
  <c r="H180" i="58"/>
  <c r="F180" i="58"/>
  <c r="E180" i="58"/>
  <c r="D180" i="58"/>
  <c r="B180" i="58"/>
  <c r="B177" i="58"/>
  <c r="M176" i="58"/>
  <c r="L176" i="58"/>
  <c r="K176" i="58"/>
  <c r="J176" i="58"/>
  <c r="N175" i="58"/>
  <c r="L175" i="58"/>
  <c r="J175" i="58"/>
  <c r="I175" i="58"/>
  <c r="H175" i="58"/>
  <c r="G175" i="58"/>
  <c r="F175" i="58"/>
  <c r="E175" i="58"/>
  <c r="D175" i="58"/>
  <c r="B175" i="58"/>
  <c r="O174" i="58"/>
  <c r="H174" i="58"/>
  <c r="H169" i="58"/>
  <c r="F169" i="58"/>
  <c r="E169" i="58"/>
  <c r="D169" i="58"/>
  <c r="B169" i="58"/>
  <c r="H168" i="58"/>
  <c r="F168" i="58"/>
  <c r="E168" i="58"/>
  <c r="D168" i="58"/>
  <c r="B168" i="58"/>
  <c r="H167" i="58"/>
  <c r="F167" i="58"/>
  <c r="E167" i="58"/>
  <c r="D167" i="58"/>
  <c r="B167" i="58"/>
  <c r="H166" i="58"/>
  <c r="F166" i="58"/>
  <c r="E166" i="58"/>
  <c r="D166" i="58"/>
  <c r="B166" i="58"/>
  <c r="H165" i="58"/>
  <c r="F165" i="58"/>
  <c r="E165" i="58"/>
  <c r="D165" i="58"/>
  <c r="B165" i="58"/>
  <c r="H164" i="58"/>
  <c r="F164" i="58"/>
  <c r="E164" i="58"/>
  <c r="D164" i="58"/>
  <c r="B164" i="58"/>
  <c r="B163" i="58"/>
  <c r="H162" i="58"/>
  <c r="F162" i="58"/>
  <c r="E162" i="58"/>
  <c r="D162" i="58"/>
  <c r="B162" i="58"/>
  <c r="H160" i="58"/>
  <c r="F160" i="58"/>
  <c r="E160" i="58"/>
  <c r="D160" i="58"/>
  <c r="B160" i="58"/>
  <c r="H159" i="58"/>
  <c r="F159" i="58"/>
  <c r="E159" i="58"/>
  <c r="D159" i="58"/>
  <c r="B159" i="58"/>
  <c r="H158" i="58"/>
  <c r="H206" i="58" s="1"/>
  <c r="F158" i="58"/>
  <c r="E158" i="58"/>
  <c r="D158" i="58"/>
  <c r="B158" i="58"/>
  <c r="B206" i="58" s="1"/>
  <c r="H157" i="58"/>
  <c r="F157" i="58"/>
  <c r="E157" i="58"/>
  <c r="D157" i="58"/>
  <c r="B157" i="58"/>
  <c r="H153" i="58"/>
  <c r="F153" i="58"/>
  <c r="E153" i="58"/>
  <c r="D153" i="58"/>
  <c r="B153" i="58"/>
  <c r="H156" i="58"/>
  <c r="F156" i="58"/>
  <c r="E156" i="58"/>
  <c r="D156" i="58"/>
  <c r="B156" i="58"/>
  <c r="H154" i="58"/>
  <c r="F154" i="58"/>
  <c r="E154" i="58"/>
  <c r="D154" i="58"/>
  <c r="B154" i="58"/>
  <c r="H152" i="58"/>
  <c r="F152" i="58"/>
  <c r="E152" i="58"/>
  <c r="D152" i="58"/>
  <c r="B152" i="58"/>
  <c r="B149" i="58"/>
  <c r="M148" i="58"/>
  <c r="L148" i="58"/>
  <c r="K148" i="58"/>
  <c r="J148" i="58"/>
  <c r="N147" i="58"/>
  <c r="L147" i="58"/>
  <c r="J147" i="58"/>
  <c r="I147" i="58"/>
  <c r="H147" i="58"/>
  <c r="G147" i="58"/>
  <c r="F147" i="58"/>
  <c r="E147" i="58"/>
  <c r="D147" i="58"/>
  <c r="B147" i="58"/>
  <c r="O146" i="58"/>
  <c r="H146" i="58"/>
  <c r="H141" i="58"/>
  <c r="F141" i="58"/>
  <c r="E141" i="58"/>
  <c r="D141" i="58"/>
  <c r="B141" i="58"/>
  <c r="H140" i="58"/>
  <c r="F140" i="58"/>
  <c r="E140" i="58"/>
  <c r="D140" i="58"/>
  <c r="B140" i="58"/>
  <c r="H139" i="58"/>
  <c r="F139" i="58"/>
  <c r="E139" i="58"/>
  <c r="D139" i="58"/>
  <c r="B139" i="58"/>
  <c r="H138" i="58"/>
  <c r="F138" i="58"/>
  <c r="E138" i="58"/>
  <c r="D138" i="58"/>
  <c r="B138" i="58"/>
  <c r="H137" i="58"/>
  <c r="F137" i="58"/>
  <c r="E137" i="58"/>
  <c r="D137" i="58"/>
  <c r="B137" i="58"/>
  <c r="H136" i="58"/>
  <c r="F136" i="58"/>
  <c r="E136" i="58"/>
  <c r="D136" i="58"/>
  <c r="B136" i="58"/>
  <c r="B135" i="58"/>
  <c r="H134" i="58"/>
  <c r="F134" i="58"/>
  <c r="E134" i="58"/>
  <c r="D134" i="58"/>
  <c r="B134" i="58"/>
  <c r="H132" i="58"/>
  <c r="F132" i="58"/>
  <c r="E132" i="58"/>
  <c r="D132" i="58"/>
  <c r="B132" i="58"/>
  <c r="H131" i="58"/>
  <c r="F131" i="58"/>
  <c r="E131" i="58"/>
  <c r="D131" i="58"/>
  <c r="B131" i="58"/>
  <c r="H130" i="58"/>
  <c r="F130" i="58"/>
  <c r="E130" i="58"/>
  <c r="D130" i="58"/>
  <c r="B130" i="58"/>
  <c r="B176" i="58" s="1"/>
  <c r="H129" i="58"/>
  <c r="F129" i="58"/>
  <c r="E129" i="58"/>
  <c r="D129" i="58"/>
  <c r="B129" i="58"/>
  <c r="H124" i="58"/>
  <c r="F124" i="58"/>
  <c r="E124" i="58"/>
  <c r="D124" i="58"/>
  <c r="B124" i="58"/>
  <c r="H128" i="58"/>
  <c r="F128" i="58"/>
  <c r="E128" i="58"/>
  <c r="D128" i="58"/>
  <c r="B128" i="58"/>
  <c r="H126" i="58"/>
  <c r="F126" i="58"/>
  <c r="E126" i="58"/>
  <c r="D126" i="58"/>
  <c r="B126" i="58"/>
  <c r="H125" i="58"/>
  <c r="F125" i="58"/>
  <c r="E125" i="58"/>
  <c r="D125" i="58"/>
  <c r="B125" i="58"/>
  <c r="B121" i="58"/>
  <c r="M120" i="58"/>
  <c r="L120" i="58"/>
  <c r="K120" i="58"/>
  <c r="J120" i="58"/>
  <c r="N119" i="58"/>
  <c r="L119" i="58"/>
  <c r="J119" i="58"/>
  <c r="I119" i="58"/>
  <c r="H119" i="58"/>
  <c r="G119" i="58"/>
  <c r="F119" i="58"/>
  <c r="E119" i="58"/>
  <c r="D119" i="58"/>
  <c r="B119" i="58"/>
  <c r="O118" i="58"/>
  <c r="H118" i="58"/>
  <c r="F113" i="58"/>
  <c r="F85" i="58"/>
  <c r="N90" i="58"/>
  <c r="M90" i="58"/>
  <c r="L90" i="58"/>
  <c r="K90" i="58"/>
  <c r="J90" i="58"/>
  <c r="I90" i="58"/>
  <c r="H90" i="58"/>
  <c r="H62" i="58"/>
  <c r="H113" i="58"/>
  <c r="E113" i="58"/>
  <c r="D113" i="58"/>
  <c r="B113" i="58"/>
  <c r="H112" i="58"/>
  <c r="F112" i="58"/>
  <c r="E112" i="58"/>
  <c r="D112" i="58"/>
  <c r="B112" i="58"/>
  <c r="H111" i="58"/>
  <c r="F111" i="58"/>
  <c r="E111" i="58"/>
  <c r="D111" i="58"/>
  <c r="B111" i="58"/>
  <c r="H110" i="58"/>
  <c r="F110" i="58"/>
  <c r="E110" i="58"/>
  <c r="D110" i="58"/>
  <c r="B110" i="58"/>
  <c r="H109" i="58"/>
  <c r="F109" i="58"/>
  <c r="E109" i="58"/>
  <c r="D109" i="58"/>
  <c r="B109" i="58"/>
  <c r="H108" i="58"/>
  <c r="F108" i="58"/>
  <c r="E108" i="58"/>
  <c r="D108" i="58"/>
  <c r="B108" i="58"/>
  <c r="B107" i="58"/>
  <c r="H106" i="58"/>
  <c r="F106" i="58"/>
  <c r="E106" i="58"/>
  <c r="D106" i="58"/>
  <c r="B106" i="58"/>
  <c r="H104" i="58"/>
  <c r="F104" i="58"/>
  <c r="E104" i="58"/>
  <c r="D104" i="58"/>
  <c r="B104" i="58"/>
  <c r="H103" i="58"/>
  <c r="F103" i="58"/>
  <c r="E103" i="58"/>
  <c r="D103" i="58"/>
  <c r="B103" i="58"/>
  <c r="H102" i="58"/>
  <c r="H148" i="58" s="1"/>
  <c r="F102" i="58"/>
  <c r="E102" i="58"/>
  <c r="D102" i="58"/>
  <c r="B102" i="58"/>
  <c r="B148" i="58" s="1"/>
  <c r="H101" i="58"/>
  <c r="F101" i="58"/>
  <c r="E101" i="58"/>
  <c r="D101" i="58"/>
  <c r="B101" i="58"/>
  <c r="H100" i="58"/>
  <c r="F100" i="58"/>
  <c r="E100" i="58"/>
  <c r="D100" i="58"/>
  <c r="B100" i="58"/>
  <c r="H98" i="58"/>
  <c r="F98" i="58"/>
  <c r="E98" i="58"/>
  <c r="D98" i="58"/>
  <c r="B98" i="58"/>
  <c r="H97" i="58"/>
  <c r="F97" i="58"/>
  <c r="E97" i="58"/>
  <c r="D97" i="58"/>
  <c r="B97" i="58"/>
  <c r="B93" i="58"/>
  <c r="M92" i="58"/>
  <c r="L92" i="58"/>
  <c r="K92" i="58"/>
  <c r="J92" i="58"/>
  <c r="I92" i="58"/>
  <c r="H92" i="58"/>
  <c r="B92" i="58"/>
  <c r="N91" i="58"/>
  <c r="M91" i="58"/>
  <c r="L91" i="58"/>
  <c r="K91" i="58"/>
  <c r="J91" i="58"/>
  <c r="I91" i="58"/>
  <c r="H91" i="58"/>
  <c r="G91" i="58"/>
  <c r="F91" i="58"/>
  <c r="E91" i="58"/>
  <c r="D91" i="58"/>
  <c r="B91" i="58"/>
  <c r="O90" i="58"/>
  <c r="B65" i="58"/>
  <c r="O62" i="58"/>
  <c r="N63" i="58"/>
  <c r="M64" i="58"/>
  <c r="L63" i="58"/>
  <c r="L64" i="58"/>
  <c r="J63" i="58"/>
  <c r="K64" i="58"/>
  <c r="J64" i="58"/>
  <c r="I63" i="58"/>
  <c r="H63" i="58"/>
  <c r="G63" i="58"/>
  <c r="F63" i="58"/>
  <c r="E63" i="58"/>
  <c r="D63" i="58"/>
  <c r="B63" i="58"/>
  <c r="B86" i="58"/>
  <c r="B85" i="58"/>
  <c r="B84" i="58"/>
  <c r="B83" i="58"/>
  <c r="B82" i="58"/>
  <c r="B81" i="58"/>
  <c r="B80" i="58"/>
  <c r="B79" i="58"/>
  <c r="B78" i="58"/>
  <c r="B76" i="58"/>
  <c r="B75" i="58"/>
  <c r="B74" i="58"/>
  <c r="B120" i="58" s="1"/>
  <c r="B73" i="58"/>
  <c r="B72" i="58"/>
  <c r="B70" i="58"/>
  <c r="B69" i="58"/>
  <c r="H85" i="58"/>
  <c r="H84" i="58"/>
  <c r="H83" i="58"/>
  <c r="H82" i="58"/>
  <c r="H81" i="58"/>
  <c r="H80" i="58"/>
  <c r="F84" i="58"/>
  <c r="F83" i="58"/>
  <c r="F82" i="58"/>
  <c r="F81" i="58"/>
  <c r="F80" i="58"/>
  <c r="E85" i="58"/>
  <c r="E84" i="58"/>
  <c r="E83" i="58"/>
  <c r="E82" i="58"/>
  <c r="E81" i="58"/>
  <c r="E80" i="58"/>
  <c r="D85" i="58"/>
  <c r="D84" i="58"/>
  <c r="D83" i="58"/>
  <c r="D82" i="58"/>
  <c r="D81" i="58"/>
  <c r="D80" i="58"/>
  <c r="H78" i="58"/>
  <c r="H76" i="58"/>
  <c r="H75" i="58"/>
  <c r="H74" i="58"/>
  <c r="H120" i="58" s="1"/>
  <c r="H73" i="58"/>
  <c r="H72" i="58"/>
  <c r="H70" i="58"/>
  <c r="H69" i="58"/>
  <c r="F78" i="58"/>
  <c r="F76" i="58"/>
  <c r="F75" i="58"/>
  <c r="F74" i="58"/>
  <c r="F73" i="58"/>
  <c r="F72" i="58"/>
  <c r="F70" i="58"/>
  <c r="F69" i="58"/>
  <c r="E78" i="58"/>
  <c r="E76" i="58"/>
  <c r="E75" i="58"/>
  <c r="E74" i="58"/>
  <c r="E73" i="58"/>
  <c r="E72" i="58"/>
  <c r="E70" i="58"/>
  <c r="E69" i="58"/>
  <c r="D78" i="58"/>
  <c r="D76" i="58"/>
  <c r="D75" i="58"/>
  <c r="D74" i="58"/>
  <c r="D73" i="58"/>
  <c r="D72" i="58"/>
  <c r="D70" i="58"/>
  <c r="D69" i="58"/>
  <c r="H396" i="58" l="1"/>
  <c r="I41" i="75" s="1"/>
  <c r="E396" i="58"/>
  <c r="I75" i="75" s="1"/>
  <c r="F396" i="58"/>
  <c r="D396" i="58"/>
  <c r="I74" i="75" s="1"/>
  <c r="E368" i="58"/>
  <c r="I75" i="73" s="1"/>
  <c r="H368" i="58"/>
  <c r="I41" i="73" s="1"/>
  <c r="D368" i="58"/>
  <c r="I74" i="73" s="1"/>
  <c r="F368" i="58"/>
  <c r="I76" i="73" s="1"/>
  <c r="E340" i="58"/>
  <c r="I75" i="55" s="1"/>
  <c r="H340" i="58"/>
  <c r="I41" i="55" s="1"/>
  <c r="D340" i="58"/>
  <c r="I74" i="55" s="1"/>
  <c r="H312" i="58"/>
  <c r="T42" i="65" s="1"/>
  <c r="F340" i="58"/>
  <c r="I76" i="55" s="1"/>
  <c r="E312" i="58"/>
  <c r="T76" i="65" s="1"/>
  <c r="F312" i="58"/>
  <c r="T77" i="65" s="1"/>
  <c r="D312" i="58"/>
  <c r="T75" i="65" s="1"/>
  <c r="D284" i="58"/>
  <c r="I75" i="65" s="1"/>
  <c r="E284" i="58"/>
  <c r="I76" i="65" s="1"/>
  <c r="F284" i="58"/>
  <c r="I77" i="65" s="1"/>
  <c r="D256" i="58"/>
  <c r="T75" i="2" s="1"/>
  <c r="H284" i="58"/>
  <c r="I42" i="65" s="1"/>
  <c r="H256" i="58"/>
  <c r="T42" i="2" s="1"/>
  <c r="E256" i="58"/>
  <c r="T76" i="2" s="1"/>
  <c r="H228" i="58"/>
  <c r="I42" i="2" s="1"/>
  <c r="F256" i="58"/>
  <c r="T77" i="2" s="1"/>
  <c r="F228" i="58"/>
  <c r="I77" i="2" s="1"/>
  <c r="D228" i="58"/>
  <c r="I75" i="2" s="1"/>
  <c r="E228" i="58"/>
  <c r="I76" i="2" s="1"/>
  <c r="H170" i="58"/>
  <c r="T42" i="67" s="1"/>
  <c r="F198" i="58"/>
  <c r="I76" i="74" s="1"/>
  <c r="D198" i="58"/>
  <c r="I74" i="74" s="1"/>
  <c r="E198" i="58"/>
  <c r="I75" i="74" s="1"/>
  <c r="H198" i="58"/>
  <c r="I41" i="74" s="1"/>
  <c r="D170" i="58"/>
  <c r="T75" i="67" s="1"/>
  <c r="E170" i="58"/>
  <c r="T76" i="67" s="1"/>
  <c r="D142" i="58"/>
  <c r="I75" i="67" s="1"/>
  <c r="F170" i="58"/>
  <c r="T77" i="67" s="1"/>
  <c r="E142" i="58"/>
  <c r="H142" i="58"/>
  <c r="I42" i="67" s="1"/>
  <c r="F142" i="58"/>
  <c r="H114" i="58"/>
  <c r="T42" i="66" s="1"/>
  <c r="F114" i="58"/>
  <c r="T77" i="66" s="1"/>
  <c r="D114" i="58"/>
  <c r="T75" i="66" s="1"/>
  <c r="E114" i="58"/>
  <c r="T76" i="66" s="1"/>
  <c r="D86" i="58"/>
  <c r="E86" i="58"/>
  <c r="F86" i="58"/>
  <c r="H86" i="58"/>
  <c r="G244" i="58"/>
  <c r="G354" i="58"/>
  <c r="G357" i="58"/>
  <c r="G243" i="58"/>
  <c r="G322" i="58"/>
  <c r="G327" i="58"/>
  <c r="G328" i="58"/>
  <c r="G330" i="58"/>
  <c r="G352" i="58"/>
  <c r="G382" i="58"/>
  <c r="G383" i="58"/>
  <c r="G238" i="58"/>
  <c r="G298" i="58"/>
  <c r="G325" i="58"/>
  <c r="G379" i="58"/>
  <c r="G239" i="58"/>
  <c r="G271" i="58"/>
  <c r="G273" i="58"/>
  <c r="G332" i="58"/>
  <c r="G358" i="58"/>
  <c r="G380" i="58"/>
  <c r="G385" i="58"/>
  <c r="G242" i="58"/>
  <c r="G266" i="58"/>
  <c r="G384" i="58"/>
  <c r="G329" i="58"/>
  <c r="G350" i="58"/>
  <c r="G158" i="58"/>
  <c r="G184" i="58"/>
  <c r="G220" i="58"/>
  <c r="G245" i="58"/>
  <c r="G268" i="58"/>
  <c r="G295" i="58"/>
  <c r="G299" i="58"/>
  <c r="G302" i="58"/>
  <c r="G355" i="58"/>
  <c r="G356" i="58"/>
  <c r="G360" i="58"/>
  <c r="G378" i="58"/>
  <c r="G386" i="58"/>
  <c r="G240" i="58"/>
  <c r="G270" i="58"/>
  <c r="G272" i="58"/>
  <c r="G300" i="58"/>
  <c r="G324" i="58"/>
  <c r="G388" i="58"/>
  <c r="G276" i="58"/>
  <c r="G351" i="58"/>
  <c r="G267" i="58"/>
  <c r="G296" i="58"/>
  <c r="G301" i="58"/>
  <c r="G248" i="58"/>
  <c r="G274" i="58"/>
  <c r="G323" i="58"/>
  <c r="G294" i="58"/>
  <c r="G304" i="58"/>
  <c r="G246" i="58"/>
  <c r="I76" i="75"/>
  <c r="G126" i="58"/>
  <c r="G129" i="58"/>
  <c r="G131" i="58"/>
  <c r="G156" i="58"/>
  <c r="G100" i="58"/>
  <c r="G106" i="58"/>
  <c r="G124" i="58"/>
  <c r="G187" i="58"/>
  <c r="G210" i="58"/>
  <c r="G128" i="58"/>
  <c r="G130" i="58"/>
  <c r="G159" i="58"/>
  <c r="G182" i="58"/>
  <c r="G186" i="58"/>
  <c r="G211" i="58"/>
  <c r="G215" i="58"/>
  <c r="G218" i="58"/>
  <c r="G153" i="58"/>
  <c r="G160" i="58"/>
  <c r="G97" i="58"/>
  <c r="G101" i="58"/>
  <c r="G103" i="58"/>
  <c r="G132" i="58"/>
  <c r="G152" i="58"/>
  <c r="G157" i="58"/>
  <c r="G162" i="58"/>
  <c r="G181" i="58"/>
  <c r="G188" i="58"/>
  <c r="G212" i="58"/>
  <c r="G125" i="58"/>
  <c r="G134" i="58"/>
  <c r="G154" i="58"/>
  <c r="H176" i="58"/>
  <c r="G180" i="58"/>
  <c r="G185" i="58"/>
  <c r="G190" i="58"/>
  <c r="G214" i="58"/>
  <c r="G216" i="58"/>
  <c r="G217" i="58"/>
  <c r="G98" i="58"/>
  <c r="G102" i="58"/>
  <c r="G104" i="58"/>
  <c r="E16" i="75"/>
  <c r="E16" i="73"/>
  <c r="E56" i="73" s="1"/>
  <c r="E16" i="55"/>
  <c r="E56" i="55" s="1"/>
  <c r="P16" i="65"/>
  <c r="P16" i="2"/>
  <c r="E16" i="74"/>
  <c r="H38" i="24"/>
  <c r="H36" i="24"/>
  <c r="T16" i="65"/>
  <c r="T16" i="2"/>
  <c r="H34" i="24" l="1"/>
  <c r="I16" i="55"/>
  <c r="E56" i="75"/>
  <c r="I51" i="75"/>
  <c r="I76" i="67"/>
  <c r="I77" i="67"/>
  <c r="K76" i="75"/>
  <c r="K75" i="75"/>
  <c r="K74" i="75"/>
  <c r="K63" i="75"/>
  <c r="K62" i="75" s="1"/>
  <c r="I56" i="75"/>
  <c r="I47" i="75"/>
  <c r="K47" i="75" s="1"/>
  <c r="I46" i="75"/>
  <c r="K46" i="75" s="1"/>
  <c r="I45" i="75"/>
  <c r="K45" i="75" s="1"/>
  <c r="I42" i="75"/>
  <c r="K41" i="75"/>
  <c r="K25" i="75"/>
  <c r="K24" i="75"/>
  <c r="K21" i="75"/>
  <c r="K20" i="75" s="1"/>
  <c r="G121" i="75"/>
  <c r="K76" i="74"/>
  <c r="K75" i="74"/>
  <c r="K74" i="74"/>
  <c r="K63" i="74"/>
  <c r="K62" i="74" s="1"/>
  <c r="I56" i="74"/>
  <c r="E53" i="74"/>
  <c r="I47" i="74"/>
  <c r="K47" i="74" s="1"/>
  <c r="I46" i="74"/>
  <c r="K46" i="74" s="1"/>
  <c r="I45" i="74"/>
  <c r="K45" i="74" s="1"/>
  <c r="I42" i="74"/>
  <c r="K41" i="74"/>
  <c r="K32" i="74"/>
  <c r="K25" i="74"/>
  <c r="K24" i="74"/>
  <c r="K21" i="74"/>
  <c r="K20" i="74" s="1"/>
  <c r="G119" i="74"/>
  <c r="K76" i="73"/>
  <c r="K75" i="73"/>
  <c r="K74" i="73"/>
  <c r="K63" i="73"/>
  <c r="K62" i="73" s="1"/>
  <c r="I56" i="73"/>
  <c r="I47" i="73"/>
  <c r="K47" i="73" s="1"/>
  <c r="I46" i="73"/>
  <c r="K46" i="73" s="1"/>
  <c r="I45" i="73"/>
  <c r="K45" i="73" s="1"/>
  <c r="I42" i="73"/>
  <c r="K41" i="73"/>
  <c r="K25" i="73"/>
  <c r="K24" i="73"/>
  <c r="K21" i="73"/>
  <c r="K20" i="73" s="1"/>
  <c r="G121" i="73"/>
  <c r="E121" i="75" l="1"/>
  <c r="I121" i="75"/>
  <c r="I121" i="73"/>
  <c r="E121" i="73"/>
  <c r="I119" i="74"/>
  <c r="E119" i="74"/>
  <c r="K23" i="75"/>
  <c r="K29" i="75"/>
  <c r="K44" i="75"/>
  <c r="K16" i="75"/>
  <c r="G110" i="75"/>
  <c r="K56" i="75"/>
  <c r="K51" i="75"/>
  <c r="K44" i="73"/>
  <c r="I51" i="74"/>
  <c r="K51" i="74" s="1"/>
  <c r="K44" i="74"/>
  <c r="K23" i="74"/>
  <c r="K29" i="74"/>
  <c r="K23" i="73"/>
  <c r="K16" i="74"/>
  <c r="E56" i="74"/>
  <c r="K56" i="74" s="1"/>
  <c r="G108" i="74"/>
  <c r="I51" i="73"/>
  <c r="K51" i="73" s="1"/>
  <c r="K29" i="73"/>
  <c r="K16" i="73"/>
  <c r="K56" i="73"/>
  <c r="G110" i="73"/>
  <c r="I85" i="73" l="1"/>
  <c r="K85" i="73" s="1"/>
  <c r="I78" i="73"/>
  <c r="K78" i="73" s="1"/>
  <c r="N36" i="24" s="1"/>
  <c r="I78" i="74"/>
  <c r="K78" i="74" s="1"/>
  <c r="N25" i="24" s="1"/>
  <c r="I78" i="75"/>
  <c r="K78" i="75" s="1"/>
  <c r="N38" i="24" s="1"/>
  <c r="I85" i="75"/>
  <c r="K85" i="75" s="1"/>
  <c r="I85" i="74"/>
  <c r="K85" i="74" s="1"/>
  <c r="K49" i="75"/>
  <c r="I110" i="75"/>
  <c r="E110" i="75"/>
  <c r="K49" i="74"/>
  <c r="K49" i="73"/>
  <c r="I108" i="74"/>
  <c r="E108" i="74"/>
  <c r="I110" i="73"/>
  <c r="E110" i="73"/>
  <c r="G25" i="58" l="1"/>
  <c r="J328" i="58" l="1"/>
  <c r="J272" i="58"/>
  <c r="J356" i="58"/>
  <c r="J300" i="58"/>
  <c r="J384" i="58"/>
  <c r="J244" i="58"/>
  <c r="L272" i="58"/>
  <c r="L356" i="58"/>
  <c r="L300" i="58"/>
  <c r="L384" i="58"/>
  <c r="L244" i="58"/>
  <c r="L328" i="58"/>
  <c r="J102" i="58"/>
  <c r="J186" i="58"/>
  <c r="J130" i="58"/>
  <c r="J216" i="58"/>
  <c r="J158" i="58"/>
  <c r="L102" i="58"/>
  <c r="L130" i="58"/>
  <c r="L216" i="58"/>
  <c r="L158" i="58"/>
  <c r="L186" i="58"/>
  <c r="J74" i="58"/>
  <c r="L74" i="58"/>
  <c r="G74" i="58"/>
  <c r="AB30" i="58" l="1"/>
  <c r="AB39" i="58" s="1"/>
  <c r="J360" i="58"/>
  <c r="J332" i="58"/>
  <c r="J276" i="58"/>
  <c r="J388" i="58"/>
  <c r="J248" i="58"/>
  <c r="J304" i="58"/>
  <c r="M356" i="58"/>
  <c r="M300" i="58"/>
  <c r="M384" i="58"/>
  <c r="M244" i="58"/>
  <c r="M272" i="58"/>
  <c r="M328" i="58"/>
  <c r="K272" i="58"/>
  <c r="K328" i="58"/>
  <c r="K356" i="58"/>
  <c r="K300" i="58"/>
  <c r="K384" i="58"/>
  <c r="K244" i="58"/>
  <c r="J106" i="58"/>
  <c r="J190" i="58"/>
  <c r="J134" i="58"/>
  <c r="J220" i="58"/>
  <c r="J162" i="58"/>
  <c r="K102" i="58"/>
  <c r="K186" i="58"/>
  <c r="K130" i="58"/>
  <c r="K216" i="58"/>
  <c r="K158" i="58"/>
  <c r="M102" i="58"/>
  <c r="M216" i="58"/>
  <c r="M158" i="58"/>
  <c r="M130" i="58"/>
  <c r="M186" i="58"/>
  <c r="M74" i="58"/>
  <c r="J78" i="58"/>
  <c r="K74" i="58"/>
  <c r="AC28" i="58"/>
  <c r="R37" i="58"/>
  <c r="Q37" i="58"/>
  <c r="I356" i="58" l="1"/>
  <c r="N356" i="58" s="1"/>
  <c r="I300" i="58"/>
  <c r="N300" i="58" s="1"/>
  <c r="I384" i="58"/>
  <c r="N384" i="58" s="1"/>
  <c r="I244" i="58"/>
  <c r="I272" i="58"/>
  <c r="I328" i="58"/>
  <c r="N328" i="58" s="1"/>
  <c r="I102" i="58"/>
  <c r="I216" i="58"/>
  <c r="I158" i="58"/>
  <c r="I130" i="58"/>
  <c r="I186" i="58"/>
  <c r="I74" i="58"/>
  <c r="N25" i="58"/>
  <c r="O25" i="58" s="1"/>
  <c r="G78" i="58"/>
  <c r="I290" i="58" l="1"/>
  <c r="N244" i="58"/>
  <c r="N216" i="58"/>
  <c r="I262" i="58"/>
  <c r="N186" i="58"/>
  <c r="I234" i="58"/>
  <c r="I318" i="58"/>
  <c r="N272" i="58"/>
  <c r="I176" i="58"/>
  <c r="N130" i="58"/>
  <c r="I206" i="58"/>
  <c r="N158" i="58"/>
  <c r="N74" i="58"/>
  <c r="I120" i="58"/>
  <c r="N102" i="58"/>
  <c r="I148" i="58"/>
  <c r="G75" i="58"/>
  <c r="G76" i="58"/>
  <c r="G73" i="58"/>
  <c r="G69" i="58"/>
  <c r="G72" i="58"/>
  <c r="G70" i="58"/>
  <c r="I76" i="66"/>
  <c r="I77" i="66"/>
  <c r="I75" i="66"/>
  <c r="G24" i="58"/>
  <c r="J243" i="58" l="1"/>
  <c r="J327" i="58"/>
  <c r="J299" i="58"/>
  <c r="J271" i="58"/>
  <c r="J355" i="58"/>
  <c r="J383" i="58"/>
  <c r="L327" i="58"/>
  <c r="L299" i="58"/>
  <c r="L271" i="58"/>
  <c r="L355" i="58"/>
  <c r="L383" i="58"/>
  <c r="L243" i="58"/>
  <c r="J101" i="58"/>
  <c r="J215" i="58"/>
  <c r="J157" i="58"/>
  <c r="J129" i="58"/>
  <c r="J185" i="58"/>
  <c r="L101" i="58"/>
  <c r="L185" i="58"/>
  <c r="L129" i="58"/>
  <c r="L215" i="58"/>
  <c r="L157" i="58"/>
  <c r="J73" i="58"/>
  <c r="L73" i="58"/>
  <c r="M299" i="58" l="1"/>
  <c r="M271" i="58"/>
  <c r="M317" i="58" s="1"/>
  <c r="M355" i="58"/>
  <c r="M327" i="58"/>
  <c r="M383" i="58"/>
  <c r="M243" i="58"/>
  <c r="M289" i="58" s="1"/>
  <c r="K327" i="58"/>
  <c r="K355" i="58"/>
  <c r="K299" i="58"/>
  <c r="K383" i="58"/>
  <c r="K243" i="58"/>
  <c r="K289" i="58" s="1"/>
  <c r="K271" i="58"/>
  <c r="K317" i="58" s="1"/>
  <c r="K101" i="58"/>
  <c r="K147" i="58" s="1"/>
  <c r="K215" i="58"/>
  <c r="K261" i="58" s="1"/>
  <c r="K157" i="58"/>
  <c r="K205" i="58" s="1"/>
  <c r="K129" i="58"/>
  <c r="K175" i="58" s="1"/>
  <c r="K185" i="58"/>
  <c r="K233" i="58" s="1"/>
  <c r="M101" i="58"/>
  <c r="M147" i="58" s="1"/>
  <c r="M185" i="58"/>
  <c r="M233" i="58" s="1"/>
  <c r="M215" i="58"/>
  <c r="M261" i="58" s="1"/>
  <c r="M157" i="58"/>
  <c r="M205" i="58" s="1"/>
  <c r="M129" i="58"/>
  <c r="M175" i="58" s="1"/>
  <c r="M73" i="58"/>
  <c r="M119" i="58" s="1"/>
  <c r="K73" i="58"/>
  <c r="K119" i="58" s="1"/>
  <c r="G20" i="58"/>
  <c r="G21" i="58"/>
  <c r="G23" i="58"/>
  <c r="G19" i="58"/>
  <c r="G18" i="58"/>
  <c r="G26" i="58"/>
  <c r="G27" i="58"/>
  <c r="G29" i="58"/>
  <c r="G31" i="58"/>
  <c r="G32" i="58"/>
  <c r="G33" i="58"/>
  <c r="G34" i="58"/>
  <c r="G35" i="58"/>
  <c r="G36" i="58"/>
  <c r="K76" i="66"/>
  <c r="E55" i="24"/>
  <c r="E53" i="24"/>
  <c r="K34" i="65"/>
  <c r="K32" i="65"/>
  <c r="K31" i="65"/>
  <c r="K34" i="66"/>
  <c r="K32" i="66"/>
  <c r="K31" i="66"/>
  <c r="K34" i="67"/>
  <c r="K32" i="67"/>
  <c r="K31" i="67"/>
  <c r="K34" i="2"/>
  <c r="K33" i="2"/>
  <c r="K31" i="2"/>
  <c r="P54" i="67"/>
  <c r="P54" i="66"/>
  <c r="P54" i="65"/>
  <c r="P54" i="2"/>
  <c r="I56" i="55"/>
  <c r="T48" i="67"/>
  <c r="V48" i="67" s="1"/>
  <c r="T48" i="66"/>
  <c r="V48" i="66" s="1"/>
  <c r="I47" i="55"/>
  <c r="K47" i="55" s="1"/>
  <c r="T48" i="65"/>
  <c r="V48" i="65" s="1"/>
  <c r="T48" i="2"/>
  <c r="V48" i="2" s="1"/>
  <c r="T57" i="65"/>
  <c r="T57" i="2"/>
  <c r="I43" i="67"/>
  <c r="I43" i="65"/>
  <c r="T43" i="67"/>
  <c r="T43" i="66"/>
  <c r="T43" i="65"/>
  <c r="I62" i="58"/>
  <c r="J62" i="58"/>
  <c r="K62" i="58"/>
  <c r="L62" i="58"/>
  <c r="M62" i="58"/>
  <c r="N62" i="58"/>
  <c r="K63" i="58"/>
  <c r="M63" i="58"/>
  <c r="B64" i="58"/>
  <c r="H64" i="58"/>
  <c r="I64" i="58"/>
  <c r="V76" i="66"/>
  <c r="K75" i="67"/>
  <c r="G34" i="62"/>
  <c r="K80" i="67"/>
  <c r="T64" i="67"/>
  <c r="V64" i="67" s="1"/>
  <c r="V63" i="67" s="1"/>
  <c r="T47" i="67"/>
  <c r="V47" i="67" s="1"/>
  <c r="T46" i="67"/>
  <c r="V46" i="67" s="1"/>
  <c r="I46" i="67"/>
  <c r="K46" i="67" s="1"/>
  <c r="K45" i="67" s="1"/>
  <c r="T25" i="67"/>
  <c r="V25" i="67" s="1"/>
  <c r="K25" i="67"/>
  <c r="T24" i="67"/>
  <c r="V24" i="67" s="1"/>
  <c r="K24" i="67"/>
  <c r="T21" i="67"/>
  <c r="V21" i="67" s="1"/>
  <c r="V20" i="67" s="1"/>
  <c r="R121" i="67"/>
  <c r="K80" i="66"/>
  <c r="V75" i="66"/>
  <c r="T64" i="66"/>
  <c r="V64" i="66" s="1"/>
  <c r="V63" i="66" s="1"/>
  <c r="T47" i="66"/>
  <c r="V47" i="66" s="1"/>
  <c r="T46" i="66"/>
  <c r="V46" i="66" s="1"/>
  <c r="I46" i="66"/>
  <c r="K46" i="66" s="1"/>
  <c r="K45" i="66" s="1"/>
  <c r="I43" i="66"/>
  <c r="V32" i="66"/>
  <c r="V31" i="66"/>
  <c r="V30" i="66"/>
  <c r="I30" i="66"/>
  <c r="K30" i="66" s="1"/>
  <c r="T25" i="66"/>
  <c r="V25" i="66" s="1"/>
  <c r="K25" i="66"/>
  <c r="T24" i="66"/>
  <c r="V24" i="66" s="1"/>
  <c r="I24" i="66"/>
  <c r="K24" i="66" s="1"/>
  <c r="T21" i="66"/>
  <c r="V21" i="66" s="1"/>
  <c r="V20" i="66" s="1"/>
  <c r="R122" i="66"/>
  <c r="P16" i="66"/>
  <c r="K63" i="55"/>
  <c r="K62" i="55" s="1"/>
  <c r="I46" i="55"/>
  <c r="K46" i="55" s="1"/>
  <c r="I45" i="55"/>
  <c r="K45" i="55" s="1"/>
  <c r="I42" i="55"/>
  <c r="K32" i="55"/>
  <c r="K25" i="55"/>
  <c r="K24" i="55"/>
  <c r="K21" i="55"/>
  <c r="K20" i="55" s="1"/>
  <c r="G120" i="55"/>
  <c r="G109" i="55"/>
  <c r="K80" i="65"/>
  <c r="T64" i="65"/>
  <c r="V64" i="65" s="1"/>
  <c r="V63" i="65" s="1"/>
  <c r="T47" i="65"/>
  <c r="V47" i="65" s="1"/>
  <c r="T46" i="65"/>
  <c r="V46" i="65" s="1"/>
  <c r="I46" i="65"/>
  <c r="K46" i="65" s="1"/>
  <c r="K45" i="65" s="1"/>
  <c r="K30" i="65"/>
  <c r="T25" i="65"/>
  <c r="V25" i="65" s="1"/>
  <c r="K25" i="65"/>
  <c r="T24" i="65"/>
  <c r="V24" i="65" s="1"/>
  <c r="K24" i="65"/>
  <c r="T21" i="65"/>
  <c r="V21" i="65" s="1"/>
  <c r="V20" i="65" s="1"/>
  <c r="R121" i="65"/>
  <c r="R110" i="65"/>
  <c r="T110" i="65" s="1"/>
  <c r="K80" i="2"/>
  <c r="T64" i="2"/>
  <c r="V64" i="2" s="1"/>
  <c r="V63" i="2" s="1"/>
  <c r="T47" i="2"/>
  <c r="V47" i="2" s="1"/>
  <c r="T46" i="2"/>
  <c r="V46" i="2" s="1"/>
  <c r="I46" i="2"/>
  <c r="K46" i="2" s="1"/>
  <c r="K45" i="2" s="1"/>
  <c r="T43" i="2"/>
  <c r="I43" i="2"/>
  <c r="K30" i="2"/>
  <c r="V27" i="2"/>
  <c r="T25" i="2"/>
  <c r="V25" i="2" s="1"/>
  <c r="K25" i="2"/>
  <c r="T24" i="2"/>
  <c r="V24" i="2" s="1"/>
  <c r="K24" i="2"/>
  <c r="T21" i="2"/>
  <c r="V21" i="2" s="1"/>
  <c r="V20" i="2" s="1"/>
  <c r="R121" i="2"/>
  <c r="R110" i="2"/>
  <c r="H25" i="24"/>
  <c r="H22" i="24"/>
  <c r="H19" i="24"/>
  <c r="H31" i="24"/>
  <c r="H28" i="24"/>
  <c r="K30" i="67"/>
  <c r="K75" i="55"/>
  <c r="K75" i="2"/>
  <c r="V75" i="67"/>
  <c r="K74" i="55"/>
  <c r="K75" i="65"/>
  <c r="K75" i="66"/>
  <c r="V75" i="2"/>
  <c r="V75" i="65"/>
  <c r="K76" i="2"/>
  <c r="V77" i="65"/>
  <c r="K76" i="67"/>
  <c r="V76" i="2"/>
  <c r="V77" i="2"/>
  <c r="K76" i="55"/>
  <c r="K77" i="66"/>
  <c r="K77" i="67"/>
  <c r="K77" i="2"/>
  <c r="K77" i="65"/>
  <c r="V77" i="66"/>
  <c r="V77" i="67"/>
  <c r="E120" i="55" l="1"/>
  <c r="I120" i="55"/>
  <c r="T121" i="65"/>
  <c r="P121" i="65"/>
  <c r="T121" i="2"/>
  <c r="P121" i="2"/>
  <c r="P121" i="67"/>
  <c r="T121" i="67"/>
  <c r="T122" i="66"/>
  <c r="P122" i="66"/>
  <c r="V45" i="67"/>
  <c r="P57" i="66"/>
  <c r="V57" i="66" s="1"/>
  <c r="C12" i="54"/>
  <c r="C11" i="54"/>
  <c r="C10" i="54"/>
  <c r="C7" i="54"/>
  <c r="C6" i="54"/>
  <c r="C8" i="54"/>
  <c r="C13" i="54"/>
  <c r="C9" i="54"/>
  <c r="K29" i="65"/>
  <c r="K29" i="2"/>
  <c r="J68" i="58"/>
  <c r="J96" i="58"/>
  <c r="L68" i="58"/>
  <c r="L96" i="58"/>
  <c r="G37" i="58"/>
  <c r="L349" i="58"/>
  <c r="L377" i="58"/>
  <c r="J349" i="58"/>
  <c r="J377" i="58"/>
  <c r="J293" i="58"/>
  <c r="J321" i="58"/>
  <c r="L293" i="58"/>
  <c r="L321" i="58"/>
  <c r="J237" i="58"/>
  <c r="J265" i="58"/>
  <c r="L237" i="58"/>
  <c r="L265" i="58"/>
  <c r="L179" i="58"/>
  <c r="L209" i="58"/>
  <c r="J179" i="58"/>
  <c r="J209" i="58"/>
  <c r="L123" i="58"/>
  <c r="L151" i="58"/>
  <c r="J123" i="58"/>
  <c r="J151" i="58"/>
  <c r="L67" i="58"/>
  <c r="L95" i="58"/>
  <c r="J67" i="58"/>
  <c r="J95" i="58"/>
  <c r="L362" i="58"/>
  <c r="L278" i="58"/>
  <c r="L390" i="58"/>
  <c r="L250" i="58"/>
  <c r="L334" i="58"/>
  <c r="L306" i="58"/>
  <c r="G307" i="58"/>
  <c r="G335" i="58"/>
  <c r="G251" i="58"/>
  <c r="G363" i="58"/>
  <c r="G279" i="58"/>
  <c r="G391" i="58"/>
  <c r="L367" i="58"/>
  <c r="L283" i="58"/>
  <c r="L395" i="58"/>
  <c r="L311" i="58"/>
  <c r="L339" i="58"/>
  <c r="L255" i="58"/>
  <c r="L308" i="58"/>
  <c r="L336" i="58"/>
  <c r="L252" i="58"/>
  <c r="L364" i="58"/>
  <c r="L280" i="58"/>
  <c r="L392" i="58"/>
  <c r="G306" i="58"/>
  <c r="G334" i="58"/>
  <c r="G250" i="58"/>
  <c r="G362" i="58"/>
  <c r="G278" i="58"/>
  <c r="G390" i="58"/>
  <c r="L309" i="58"/>
  <c r="L393" i="58"/>
  <c r="L337" i="58"/>
  <c r="L253" i="58"/>
  <c r="L365" i="58"/>
  <c r="L281" i="58"/>
  <c r="K29" i="66"/>
  <c r="G339" i="58"/>
  <c r="G255" i="58"/>
  <c r="G311" i="58"/>
  <c r="G367" i="58"/>
  <c r="G283" i="58"/>
  <c r="G395" i="58"/>
  <c r="K29" i="67"/>
  <c r="L282" i="58"/>
  <c r="L394" i="58"/>
  <c r="L366" i="58"/>
  <c r="L310" i="58"/>
  <c r="L338" i="58"/>
  <c r="L254" i="58"/>
  <c r="G392" i="58"/>
  <c r="G308" i="58"/>
  <c r="G336" i="58"/>
  <c r="G252" i="58"/>
  <c r="G364" i="58"/>
  <c r="G280" i="58"/>
  <c r="L335" i="58"/>
  <c r="L251" i="58"/>
  <c r="L307" i="58"/>
  <c r="L363" i="58"/>
  <c r="L279" i="58"/>
  <c r="L391" i="58"/>
  <c r="I383" i="58"/>
  <c r="N383" i="58" s="1"/>
  <c r="I243" i="58"/>
  <c r="N243" i="58" s="1"/>
  <c r="I271" i="58"/>
  <c r="N271" i="58" s="1"/>
  <c r="I327" i="58"/>
  <c r="I355" i="58"/>
  <c r="N355" i="58" s="1"/>
  <c r="I299" i="58"/>
  <c r="J392" i="58"/>
  <c r="J280" i="58"/>
  <c r="J364" i="58"/>
  <c r="J336" i="58"/>
  <c r="J308" i="58"/>
  <c r="J252" i="58"/>
  <c r="L388" i="58"/>
  <c r="L276" i="58"/>
  <c r="L360" i="58"/>
  <c r="L332" i="58"/>
  <c r="L304" i="58"/>
  <c r="L248" i="58"/>
  <c r="J386" i="58"/>
  <c r="J358" i="58"/>
  <c r="J330" i="58"/>
  <c r="J302" i="58"/>
  <c r="J274" i="58"/>
  <c r="J246" i="58"/>
  <c r="J378" i="58"/>
  <c r="J350" i="58"/>
  <c r="J322" i="58"/>
  <c r="J294" i="58"/>
  <c r="J266" i="58"/>
  <c r="J316" i="58" s="1"/>
  <c r="J238" i="58"/>
  <c r="J288" i="58" s="1"/>
  <c r="L379" i="58"/>
  <c r="L351" i="58"/>
  <c r="L323" i="58"/>
  <c r="L295" i="58"/>
  <c r="L239" i="58"/>
  <c r="L267" i="58"/>
  <c r="J281" i="58"/>
  <c r="J393" i="58"/>
  <c r="J365" i="58"/>
  <c r="J337" i="58"/>
  <c r="J309" i="58"/>
  <c r="J253" i="58"/>
  <c r="K360" i="58"/>
  <c r="K388" i="58"/>
  <c r="L380" i="58"/>
  <c r="L352" i="58"/>
  <c r="L324" i="58"/>
  <c r="L296" i="58"/>
  <c r="L268" i="58"/>
  <c r="L240" i="58"/>
  <c r="J379" i="58"/>
  <c r="J351" i="58"/>
  <c r="J323" i="58"/>
  <c r="J295" i="58"/>
  <c r="J267" i="58"/>
  <c r="J239" i="58"/>
  <c r="J282" i="58"/>
  <c r="J366" i="58"/>
  <c r="J338" i="58"/>
  <c r="J310" i="58"/>
  <c r="J394" i="58"/>
  <c r="J254" i="58"/>
  <c r="G365" i="58"/>
  <c r="G337" i="58"/>
  <c r="G309" i="58"/>
  <c r="G393" i="58"/>
  <c r="G281" i="58"/>
  <c r="G253" i="58"/>
  <c r="J278" i="58"/>
  <c r="J390" i="58"/>
  <c r="J362" i="58"/>
  <c r="J334" i="58"/>
  <c r="J306" i="58"/>
  <c r="J250" i="58"/>
  <c r="L385" i="58"/>
  <c r="L357" i="58"/>
  <c r="L329" i="58"/>
  <c r="L301" i="58"/>
  <c r="L245" i="58"/>
  <c r="L273" i="58"/>
  <c r="L382" i="58"/>
  <c r="L354" i="58"/>
  <c r="L325" i="58"/>
  <c r="L372" i="58" s="1"/>
  <c r="L298" i="58"/>
  <c r="L344" i="58" s="1"/>
  <c r="L270" i="58"/>
  <c r="L242" i="58"/>
  <c r="J380" i="58"/>
  <c r="J352" i="58"/>
  <c r="J324" i="58"/>
  <c r="J296" i="58"/>
  <c r="J240" i="58"/>
  <c r="J268" i="58"/>
  <c r="J395" i="58"/>
  <c r="J367" i="58"/>
  <c r="J339" i="58"/>
  <c r="J311" i="58"/>
  <c r="J283" i="58"/>
  <c r="J255" i="58"/>
  <c r="G394" i="58"/>
  <c r="G282" i="58"/>
  <c r="G366" i="58"/>
  <c r="G338" i="58"/>
  <c r="G310" i="58"/>
  <c r="G254" i="58"/>
  <c r="J391" i="58"/>
  <c r="J279" i="58"/>
  <c r="J363" i="58"/>
  <c r="J335" i="58"/>
  <c r="J307" i="58"/>
  <c r="J251" i="58"/>
  <c r="L386" i="58"/>
  <c r="L358" i="58"/>
  <c r="L330" i="58"/>
  <c r="L302" i="58"/>
  <c r="L274" i="58"/>
  <c r="L246" i="58"/>
  <c r="J385" i="58"/>
  <c r="J357" i="58"/>
  <c r="J329" i="58"/>
  <c r="J301" i="58"/>
  <c r="J273" i="58"/>
  <c r="J245" i="58"/>
  <c r="L378" i="58"/>
  <c r="L350" i="58"/>
  <c r="L322" i="58"/>
  <c r="L294" i="58"/>
  <c r="L238" i="58"/>
  <c r="L288" i="58" s="1"/>
  <c r="L266" i="58"/>
  <c r="L316" i="58" s="1"/>
  <c r="J382" i="58"/>
  <c r="J354" i="58"/>
  <c r="J325" i="58"/>
  <c r="J372" i="58" s="1"/>
  <c r="J298" i="58"/>
  <c r="J344" i="58" s="1"/>
  <c r="J242" i="58"/>
  <c r="J270" i="58"/>
  <c r="K332" i="58"/>
  <c r="K304" i="58"/>
  <c r="K220" i="58"/>
  <c r="K248" i="58"/>
  <c r="K276" i="58"/>
  <c r="L113" i="58"/>
  <c r="L227" i="58"/>
  <c r="L169" i="58"/>
  <c r="L197" i="58"/>
  <c r="L141" i="58"/>
  <c r="G113" i="58"/>
  <c r="G197" i="58"/>
  <c r="G141" i="58"/>
  <c r="G227" i="58"/>
  <c r="G169" i="58"/>
  <c r="L111" i="58"/>
  <c r="L195" i="58"/>
  <c r="L139" i="58"/>
  <c r="L225" i="58"/>
  <c r="L167" i="58"/>
  <c r="G109" i="58"/>
  <c r="G223" i="58"/>
  <c r="G165" i="58"/>
  <c r="G193" i="58"/>
  <c r="G137" i="58"/>
  <c r="I101" i="58"/>
  <c r="N101" i="58" s="1"/>
  <c r="I185" i="58"/>
  <c r="N185" i="58" s="1"/>
  <c r="I215" i="58"/>
  <c r="N215" i="58" s="1"/>
  <c r="I157" i="58"/>
  <c r="N157" i="58" s="1"/>
  <c r="I129" i="58"/>
  <c r="N129" i="58" s="1"/>
  <c r="L112" i="58"/>
  <c r="L226" i="58"/>
  <c r="L168" i="58"/>
  <c r="L196" i="58"/>
  <c r="L140" i="58"/>
  <c r="G110" i="58"/>
  <c r="G194" i="58"/>
  <c r="G138" i="58"/>
  <c r="G224" i="58"/>
  <c r="G166" i="58"/>
  <c r="L108" i="58"/>
  <c r="L192" i="58"/>
  <c r="L136" i="58"/>
  <c r="L222" i="58"/>
  <c r="L164" i="58"/>
  <c r="L109" i="58"/>
  <c r="L193" i="58"/>
  <c r="L137" i="58"/>
  <c r="L223" i="58"/>
  <c r="L165" i="58"/>
  <c r="L110" i="58"/>
  <c r="L224" i="58"/>
  <c r="L166" i="58"/>
  <c r="L194" i="58"/>
  <c r="L138" i="58"/>
  <c r="G108" i="58"/>
  <c r="G222" i="58"/>
  <c r="G164" i="58"/>
  <c r="G192" i="58"/>
  <c r="G136" i="58"/>
  <c r="J112" i="58"/>
  <c r="J226" i="58"/>
  <c r="J196" i="58"/>
  <c r="J168" i="58"/>
  <c r="J140" i="58"/>
  <c r="G111" i="58"/>
  <c r="G195" i="58"/>
  <c r="G167" i="58"/>
  <c r="G139" i="58"/>
  <c r="G225" i="58"/>
  <c r="J108" i="58"/>
  <c r="J164" i="58"/>
  <c r="J136" i="58"/>
  <c r="J222" i="58"/>
  <c r="J192" i="58"/>
  <c r="L103" i="58"/>
  <c r="L217" i="58"/>
  <c r="L187" i="58"/>
  <c r="L159" i="58"/>
  <c r="L131" i="58"/>
  <c r="L100" i="58"/>
  <c r="L214" i="58"/>
  <c r="L184" i="58"/>
  <c r="L156" i="58"/>
  <c r="L128" i="58"/>
  <c r="J98" i="58"/>
  <c r="J212" i="58"/>
  <c r="J126" i="58"/>
  <c r="J182" i="58"/>
  <c r="J154" i="58"/>
  <c r="J113" i="58"/>
  <c r="J197" i="58"/>
  <c r="J169" i="58"/>
  <c r="J141" i="58"/>
  <c r="J227" i="58"/>
  <c r="G112" i="58"/>
  <c r="G168" i="58"/>
  <c r="G140" i="58"/>
  <c r="G226" i="58"/>
  <c r="G196" i="58"/>
  <c r="J109" i="58"/>
  <c r="J165" i="58"/>
  <c r="J137" i="58"/>
  <c r="J223" i="58"/>
  <c r="J193" i="58"/>
  <c r="L104" i="58"/>
  <c r="L160" i="58"/>
  <c r="L132" i="58"/>
  <c r="L218" i="58"/>
  <c r="L188" i="58"/>
  <c r="J103" i="58"/>
  <c r="J159" i="58"/>
  <c r="J131" i="58"/>
  <c r="J217" i="58"/>
  <c r="J187" i="58"/>
  <c r="L146" i="58"/>
  <c r="L153" i="58"/>
  <c r="L204" i="58" s="1"/>
  <c r="L124" i="58"/>
  <c r="L174" i="58" s="1"/>
  <c r="L210" i="58"/>
  <c r="L260" i="58" s="1"/>
  <c r="L181" i="58"/>
  <c r="L232" i="58" s="1"/>
  <c r="J100" i="58"/>
  <c r="J156" i="58"/>
  <c r="J128" i="58"/>
  <c r="J214" i="58"/>
  <c r="J184" i="58"/>
  <c r="J110" i="58"/>
  <c r="J166" i="58"/>
  <c r="J138" i="58"/>
  <c r="J224" i="58"/>
  <c r="J194" i="58"/>
  <c r="L106" i="58"/>
  <c r="L162" i="58"/>
  <c r="L134" i="58"/>
  <c r="L220" i="58"/>
  <c r="L190" i="58"/>
  <c r="J104" i="58"/>
  <c r="J218" i="58"/>
  <c r="J188" i="58"/>
  <c r="J160" i="58"/>
  <c r="J132" i="58"/>
  <c r="J146" i="58"/>
  <c r="J210" i="58"/>
  <c r="J260" i="58" s="1"/>
  <c r="J181" i="58"/>
  <c r="J232" i="58" s="1"/>
  <c r="J153" i="58"/>
  <c r="J204" i="58" s="1"/>
  <c r="J124" i="58"/>
  <c r="J174" i="58" s="1"/>
  <c r="L97" i="58"/>
  <c r="L211" i="58"/>
  <c r="L180" i="58"/>
  <c r="L125" i="58"/>
  <c r="L152" i="58"/>
  <c r="J111" i="58"/>
  <c r="J139" i="58"/>
  <c r="J225" i="58"/>
  <c r="J195" i="58"/>
  <c r="J167" i="58"/>
  <c r="L98" i="58"/>
  <c r="L154" i="58"/>
  <c r="L212" i="58"/>
  <c r="L126" i="58"/>
  <c r="L182" i="58"/>
  <c r="J97" i="58"/>
  <c r="J152" i="58"/>
  <c r="J211" i="58"/>
  <c r="J180" i="58"/>
  <c r="J125" i="58"/>
  <c r="K106" i="58"/>
  <c r="K162" i="58"/>
  <c r="K190" i="58"/>
  <c r="K134" i="58"/>
  <c r="G85" i="58"/>
  <c r="L83" i="58"/>
  <c r="G81" i="58"/>
  <c r="L84" i="58"/>
  <c r="G82" i="58"/>
  <c r="L80" i="58"/>
  <c r="L85" i="58"/>
  <c r="L81" i="58"/>
  <c r="I73" i="58"/>
  <c r="N73" i="58" s="1"/>
  <c r="N24" i="58"/>
  <c r="O24" i="58" s="1"/>
  <c r="L82" i="58"/>
  <c r="G80" i="58"/>
  <c r="J82" i="58"/>
  <c r="L78" i="58"/>
  <c r="J76" i="58"/>
  <c r="J118" i="58"/>
  <c r="L69" i="58"/>
  <c r="J83" i="58"/>
  <c r="K78" i="58"/>
  <c r="L70" i="58"/>
  <c r="J69" i="58"/>
  <c r="J84" i="58"/>
  <c r="G83" i="58"/>
  <c r="J80" i="58"/>
  <c r="L75" i="58"/>
  <c r="L72" i="58"/>
  <c r="J70" i="58"/>
  <c r="J85" i="58"/>
  <c r="G84" i="58"/>
  <c r="J81" i="58"/>
  <c r="L76" i="58"/>
  <c r="J75" i="58"/>
  <c r="L118" i="58"/>
  <c r="J72" i="58"/>
  <c r="T52" i="67"/>
  <c r="V52" i="67" s="1"/>
  <c r="R110" i="67"/>
  <c r="T110" i="67" s="1"/>
  <c r="K23" i="66"/>
  <c r="P57" i="67"/>
  <c r="V57" i="67" s="1"/>
  <c r="R111" i="66"/>
  <c r="T111" i="66" s="1"/>
  <c r="P57" i="65"/>
  <c r="V57" i="65" s="1"/>
  <c r="T52" i="66"/>
  <c r="V52" i="66" s="1"/>
  <c r="T52" i="2"/>
  <c r="V52" i="2" s="1"/>
  <c r="V23" i="2"/>
  <c r="V23" i="66"/>
  <c r="V29" i="66"/>
  <c r="K23" i="2"/>
  <c r="K23" i="55"/>
  <c r="K44" i="55"/>
  <c r="T110" i="2"/>
  <c r="P110" i="2"/>
  <c r="K23" i="67"/>
  <c r="T52" i="65"/>
  <c r="V52" i="65" s="1"/>
  <c r="K29" i="55"/>
  <c r="V23" i="67"/>
  <c r="P57" i="2"/>
  <c r="V57" i="2" s="1"/>
  <c r="V45" i="2"/>
  <c r="V29" i="67"/>
  <c r="V29" i="2"/>
  <c r="K56" i="55"/>
  <c r="V45" i="66"/>
  <c r="I51" i="55"/>
  <c r="K51" i="55" s="1"/>
  <c r="E109" i="55"/>
  <c r="I109" i="55"/>
  <c r="P110" i="65"/>
  <c r="V16" i="66"/>
  <c r="V45" i="65"/>
  <c r="K16" i="55"/>
  <c r="V29" i="65"/>
  <c r="K23" i="65"/>
  <c r="V23" i="65"/>
  <c r="V16" i="65"/>
  <c r="V16" i="67"/>
  <c r="T86" i="67" s="1"/>
  <c r="V86" i="67" s="1"/>
  <c r="V16" i="2"/>
  <c r="T86" i="2" s="1"/>
  <c r="V86" i="2" s="1"/>
  <c r="K76" i="65"/>
  <c r="V76" i="65"/>
  <c r="V76" i="67"/>
  <c r="K42" i="65"/>
  <c r="K41" i="55"/>
  <c r="T86" i="66" l="1"/>
  <c r="V86" i="66" s="1"/>
  <c r="H53" i="24"/>
  <c r="T79" i="66"/>
  <c r="V79" i="66" s="1"/>
  <c r="N19" i="24" s="1"/>
  <c r="I13" i="54" s="1"/>
  <c r="T86" i="65"/>
  <c r="V86" i="65" s="1"/>
  <c r="H55" i="24"/>
  <c r="P111" i="66"/>
  <c r="V50" i="66"/>
  <c r="G396" i="58"/>
  <c r="J396" i="58"/>
  <c r="L396" i="58"/>
  <c r="E42" i="75" s="1"/>
  <c r="K42" i="75" s="1"/>
  <c r="J368" i="58"/>
  <c r="L368" i="58"/>
  <c r="E42" i="73" s="1"/>
  <c r="K42" i="73" s="1"/>
  <c r="G368" i="58"/>
  <c r="J340" i="58"/>
  <c r="L340" i="58"/>
  <c r="E42" i="55" s="1"/>
  <c r="K42" i="55" s="1"/>
  <c r="G340" i="58"/>
  <c r="L312" i="58"/>
  <c r="P43" i="65" s="1"/>
  <c r="G312" i="58"/>
  <c r="J312" i="58"/>
  <c r="J284" i="58"/>
  <c r="G284" i="58"/>
  <c r="L284" i="58"/>
  <c r="E43" i="65" s="1"/>
  <c r="K43" i="65" s="1"/>
  <c r="G256" i="58"/>
  <c r="L256" i="58"/>
  <c r="P43" i="2" s="1"/>
  <c r="J256" i="58"/>
  <c r="G228" i="58"/>
  <c r="L228" i="58"/>
  <c r="E43" i="2" s="1"/>
  <c r="K43" i="2" s="1"/>
  <c r="J228" i="58"/>
  <c r="L198" i="58"/>
  <c r="E42" i="74" s="1"/>
  <c r="K42" i="74" s="1"/>
  <c r="G198" i="58"/>
  <c r="J198" i="58"/>
  <c r="L170" i="58"/>
  <c r="P43" i="67" s="1"/>
  <c r="G170" i="58"/>
  <c r="J170" i="58"/>
  <c r="L142" i="58"/>
  <c r="E43" i="67" s="1"/>
  <c r="K43" i="67" s="1"/>
  <c r="J142" i="58"/>
  <c r="G142" i="58"/>
  <c r="J114" i="58"/>
  <c r="L114" i="58"/>
  <c r="P43" i="66" s="1"/>
  <c r="G114" i="58"/>
  <c r="M68" i="58"/>
  <c r="M96" i="58"/>
  <c r="K68" i="58"/>
  <c r="K96" i="58"/>
  <c r="J86" i="58"/>
  <c r="G86" i="58"/>
  <c r="L86" i="58"/>
  <c r="M37" i="58"/>
  <c r="K37" i="58"/>
  <c r="M349" i="58"/>
  <c r="M377" i="58"/>
  <c r="K349" i="58"/>
  <c r="K377" i="58"/>
  <c r="K293" i="58"/>
  <c r="K321" i="58"/>
  <c r="M293" i="58"/>
  <c r="M321" i="58"/>
  <c r="M237" i="58"/>
  <c r="M265" i="58"/>
  <c r="K237" i="58"/>
  <c r="K265" i="58"/>
  <c r="M179" i="58"/>
  <c r="M209" i="58"/>
  <c r="K179" i="58"/>
  <c r="K209" i="58"/>
  <c r="M123" i="58"/>
  <c r="M151" i="58"/>
  <c r="K123" i="58"/>
  <c r="K151" i="58"/>
  <c r="M67" i="58"/>
  <c r="M95" i="58"/>
  <c r="K67" i="58"/>
  <c r="K95" i="58"/>
  <c r="V50" i="67"/>
  <c r="P110" i="67"/>
  <c r="V42" i="2"/>
  <c r="I42" i="66"/>
  <c r="K42" i="66" s="1"/>
  <c r="I85" i="55"/>
  <c r="K85" i="55" s="1"/>
  <c r="I78" i="55"/>
  <c r="K78" i="55" s="1"/>
  <c r="T79" i="65"/>
  <c r="V79" i="65" s="1"/>
  <c r="N31" i="24" s="1"/>
  <c r="I374" i="58"/>
  <c r="N327" i="58"/>
  <c r="N299" i="58"/>
  <c r="I346" i="58"/>
  <c r="I96" i="58"/>
  <c r="K378" i="58"/>
  <c r="K350" i="58"/>
  <c r="K322" i="58"/>
  <c r="K373" i="58" s="1"/>
  <c r="K294" i="58"/>
  <c r="K345" i="58" s="1"/>
  <c r="K238" i="58"/>
  <c r="K288" i="58" s="1"/>
  <c r="K266" i="58"/>
  <c r="K316" i="58" s="1"/>
  <c r="K380" i="58"/>
  <c r="K352" i="58"/>
  <c r="K324" i="58"/>
  <c r="K296" i="58"/>
  <c r="K268" i="58"/>
  <c r="K240" i="58"/>
  <c r="K386" i="58"/>
  <c r="K358" i="58"/>
  <c r="K330" i="58"/>
  <c r="K302" i="58"/>
  <c r="K274" i="58"/>
  <c r="K246" i="58"/>
  <c r="I360" i="58"/>
  <c r="I388" i="58"/>
  <c r="M378" i="58"/>
  <c r="M350" i="58"/>
  <c r="M322" i="58"/>
  <c r="M373" i="58" s="1"/>
  <c r="M294" i="58"/>
  <c r="M345" i="58" s="1"/>
  <c r="M266" i="58"/>
  <c r="M316" i="58" s="1"/>
  <c r="M238" i="58"/>
  <c r="M288" i="58" s="1"/>
  <c r="M386" i="58"/>
  <c r="M358" i="58"/>
  <c r="M330" i="58"/>
  <c r="M302" i="58"/>
  <c r="M246" i="58"/>
  <c r="M274" i="58"/>
  <c r="K365" i="58"/>
  <c r="K393" i="58"/>
  <c r="M85" i="58"/>
  <c r="M395" i="58"/>
  <c r="M283" i="58"/>
  <c r="M367" i="58"/>
  <c r="M339" i="58"/>
  <c r="M311" i="58"/>
  <c r="M255" i="58"/>
  <c r="M83" i="58"/>
  <c r="M365" i="58"/>
  <c r="M337" i="58"/>
  <c r="M309" i="58"/>
  <c r="M393" i="58"/>
  <c r="M281" i="58"/>
  <c r="M253" i="58"/>
  <c r="I377" i="58"/>
  <c r="K364" i="58"/>
  <c r="K392" i="58"/>
  <c r="K379" i="58"/>
  <c r="K351" i="58"/>
  <c r="K323" i="58"/>
  <c r="K295" i="58"/>
  <c r="K267" i="58"/>
  <c r="K239" i="58"/>
  <c r="K367" i="58"/>
  <c r="K395" i="58"/>
  <c r="M382" i="58"/>
  <c r="M354" i="58"/>
  <c r="M325" i="58"/>
  <c r="M372" i="58" s="1"/>
  <c r="M298" i="58"/>
  <c r="M344" i="58" s="1"/>
  <c r="M270" i="58"/>
  <c r="M242" i="58"/>
  <c r="M385" i="58"/>
  <c r="M357" i="58"/>
  <c r="M329" i="58"/>
  <c r="M301" i="58"/>
  <c r="M273" i="58"/>
  <c r="M245" i="58"/>
  <c r="M380" i="58"/>
  <c r="M352" i="58"/>
  <c r="M324" i="58"/>
  <c r="M296" i="58"/>
  <c r="M240" i="58"/>
  <c r="M268" i="58"/>
  <c r="M360" i="58"/>
  <c r="M388" i="58"/>
  <c r="M84" i="58"/>
  <c r="M394" i="58"/>
  <c r="M282" i="58"/>
  <c r="M366" i="58"/>
  <c r="M338" i="58"/>
  <c r="M310" i="58"/>
  <c r="M254" i="58"/>
  <c r="K362" i="58"/>
  <c r="K390" i="58"/>
  <c r="M379" i="58"/>
  <c r="M351" i="58"/>
  <c r="M323" i="58"/>
  <c r="M295" i="58"/>
  <c r="M239" i="58"/>
  <c r="M267" i="58"/>
  <c r="K382" i="58"/>
  <c r="K354" i="58"/>
  <c r="K325" i="58"/>
  <c r="K372" i="58" s="1"/>
  <c r="K298" i="58"/>
  <c r="K344" i="58" s="1"/>
  <c r="K242" i="58"/>
  <c r="K270" i="58"/>
  <c r="I103" i="58"/>
  <c r="K385" i="58"/>
  <c r="K357" i="58"/>
  <c r="K329" i="58"/>
  <c r="K301" i="58"/>
  <c r="K273" i="58"/>
  <c r="K245" i="58"/>
  <c r="K363" i="58"/>
  <c r="K391" i="58"/>
  <c r="K366" i="58"/>
  <c r="K394" i="58"/>
  <c r="M280" i="58"/>
  <c r="M364" i="58"/>
  <c r="M336" i="58"/>
  <c r="M308" i="58"/>
  <c r="M392" i="58"/>
  <c r="M252" i="58"/>
  <c r="M363" i="58"/>
  <c r="M391" i="58"/>
  <c r="M362" i="58"/>
  <c r="M390" i="58"/>
  <c r="K334" i="58"/>
  <c r="K306" i="58"/>
  <c r="K336" i="58"/>
  <c r="K308" i="58"/>
  <c r="I332" i="58"/>
  <c r="I304" i="58"/>
  <c r="K337" i="58"/>
  <c r="K309" i="58"/>
  <c r="K339" i="58"/>
  <c r="K311" i="58"/>
  <c r="M332" i="58"/>
  <c r="M304" i="58"/>
  <c r="K335" i="58"/>
  <c r="K307" i="58"/>
  <c r="K338" i="58"/>
  <c r="K310" i="58"/>
  <c r="M335" i="58"/>
  <c r="M307" i="58"/>
  <c r="M334" i="58"/>
  <c r="M306" i="58"/>
  <c r="K227" i="58"/>
  <c r="K283" i="58"/>
  <c r="K255" i="58"/>
  <c r="K223" i="58"/>
  <c r="K279" i="58"/>
  <c r="K251" i="58"/>
  <c r="K226" i="58"/>
  <c r="K282" i="58"/>
  <c r="K254" i="58"/>
  <c r="M223" i="58"/>
  <c r="M279" i="58"/>
  <c r="M251" i="58"/>
  <c r="M222" i="58"/>
  <c r="M278" i="58"/>
  <c r="M250" i="58"/>
  <c r="M220" i="58"/>
  <c r="M248" i="58"/>
  <c r="M276" i="58"/>
  <c r="K222" i="58"/>
  <c r="K278" i="58"/>
  <c r="K250" i="58"/>
  <c r="K224" i="58"/>
  <c r="K280" i="58"/>
  <c r="K252" i="58"/>
  <c r="I220" i="58"/>
  <c r="I248" i="58"/>
  <c r="I276" i="58"/>
  <c r="K225" i="58"/>
  <c r="K281" i="58"/>
  <c r="K253" i="58"/>
  <c r="K103" i="58"/>
  <c r="K131" i="58"/>
  <c r="K217" i="58"/>
  <c r="K187" i="58"/>
  <c r="K159" i="58"/>
  <c r="M103" i="58"/>
  <c r="M187" i="58"/>
  <c r="M159" i="58"/>
  <c r="M131" i="58"/>
  <c r="M217" i="58"/>
  <c r="K146" i="58"/>
  <c r="K181" i="58"/>
  <c r="K232" i="58" s="1"/>
  <c r="K153" i="58"/>
  <c r="K204" i="58" s="1"/>
  <c r="K124" i="58"/>
  <c r="K174" i="58" s="1"/>
  <c r="K210" i="58"/>
  <c r="K260" i="58" s="1"/>
  <c r="K104" i="58"/>
  <c r="K188" i="58"/>
  <c r="K160" i="58"/>
  <c r="K132" i="58"/>
  <c r="K218" i="58"/>
  <c r="M110" i="58"/>
  <c r="M224" i="58"/>
  <c r="M194" i="58"/>
  <c r="M166" i="58"/>
  <c r="M138" i="58"/>
  <c r="M82" i="58"/>
  <c r="M98" i="58"/>
  <c r="M212" i="58"/>
  <c r="M126" i="58"/>
  <c r="M182" i="58"/>
  <c r="M154" i="58"/>
  <c r="K97" i="58"/>
  <c r="K211" i="58"/>
  <c r="K180" i="58"/>
  <c r="K125" i="58"/>
  <c r="K152" i="58"/>
  <c r="M146" i="58"/>
  <c r="M210" i="58"/>
  <c r="M260" i="58" s="1"/>
  <c r="M181" i="58"/>
  <c r="M232" i="58" s="1"/>
  <c r="M153" i="58"/>
  <c r="M204" i="58" s="1"/>
  <c r="M124" i="58"/>
  <c r="M174" i="58" s="1"/>
  <c r="M104" i="58"/>
  <c r="M132" i="58"/>
  <c r="M218" i="58"/>
  <c r="M188" i="58"/>
  <c r="M160" i="58"/>
  <c r="K98" i="58"/>
  <c r="K182" i="58"/>
  <c r="K154" i="58"/>
  <c r="K212" i="58"/>
  <c r="K126" i="58"/>
  <c r="M113" i="58"/>
  <c r="M141" i="58"/>
  <c r="M227" i="58"/>
  <c r="M197" i="58"/>
  <c r="M169" i="58"/>
  <c r="M111" i="58"/>
  <c r="M195" i="58"/>
  <c r="M167" i="58"/>
  <c r="M139" i="58"/>
  <c r="M225" i="58"/>
  <c r="K100" i="58"/>
  <c r="K128" i="58"/>
  <c r="K214" i="58"/>
  <c r="K184" i="58"/>
  <c r="K156" i="58"/>
  <c r="M100" i="58"/>
  <c r="M184" i="58"/>
  <c r="M156" i="58"/>
  <c r="M128" i="58"/>
  <c r="M214" i="58"/>
  <c r="N23" i="58"/>
  <c r="O23" i="58" s="1"/>
  <c r="M97" i="58"/>
  <c r="M180" i="58"/>
  <c r="M125" i="58"/>
  <c r="M152" i="58"/>
  <c r="M211" i="58"/>
  <c r="M112" i="58"/>
  <c r="M168" i="58"/>
  <c r="M140" i="58"/>
  <c r="M226" i="58"/>
  <c r="M196" i="58"/>
  <c r="I85" i="58"/>
  <c r="N32" i="58"/>
  <c r="O32" i="58" s="1"/>
  <c r="I82" i="58"/>
  <c r="K112" i="58"/>
  <c r="K196" i="58"/>
  <c r="K168" i="58"/>
  <c r="K140" i="58"/>
  <c r="I106" i="58"/>
  <c r="I134" i="58"/>
  <c r="I162" i="58"/>
  <c r="I190" i="58"/>
  <c r="I84" i="58"/>
  <c r="K108" i="58"/>
  <c r="K192" i="58"/>
  <c r="K164" i="58"/>
  <c r="K136" i="58"/>
  <c r="K111" i="58"/>
  <c r="K195" i="58"/>
  <c r="K139" i="58"/>
  <c r="K167" i="58"/>
  <c r="K110" i="58"/>
  <c r="K194" i="58"/>
  <c r="K138" i="58"/>
  <c r="K166" i="58"/>
  <c r="M109" i="58"/>
  <c r="M137" i="58"/>
  <c r="M193" i="58"/>
  <c r="M165" i="58"/>
  <c r="M108" i="58"/>
  <c r="M136" i="58"/>
  <c r="M192" i="58"/>
  <c r="M164" i="58"/>
  <c r="N34" i="58"/>
  <c r="M81" i="58"/>
  <c r="K109" i="58"/>
  <c r="K193" i="58"/>
  <c r="K165" i="58"/>
  <c r="K137" i="58"/>
  <c r="K113" i="58"/>
  <c r="K197" i="58"/>
  <c r="K169" i="58"/>
  <c r="K141" i="58"/>
  <c r="M80" i="58"/>
  <c r="M106" i="58"/>
  <c r="M134" i="58"/>
  <c r="M162" i="58"/>
  <c r="M190" i="58"/>
  <c r="N31" i="58"/>
  <c r="O31" i="58" s="1"/>
  <c r="M69" i="58"/>
  <c r="K75" i="58"/>
  <c r="M72" i="58"/>
  <c r="K83" i="58"/>
  <c r="K118" i="58"/>
  <c r="K82" i="58"/>
  <c r="M118" i="58"/>
  <c r="K70" i="58"/>
  <c r="K80" i="58"/>
  <c r="K84" i="58"/>
  <c r="M70" i="58"/>
  <c r="M78" i="58"/>
  <c r="K72" i="58"/>
  <c r="K81" i="58"/>
  <c r="K85" i="58"/>
  <c r="M75" i="58"/>
  <c r="K76" i="58"/>
  <c r="I78" i="58"/>
  <c r="K69" i="58"/>
  <c r="M76" i="58"/>
  <c r="T79" i="2"/>
  <c r="V79" i="2" s="1"/>
  <c r="T79" i="67"/>
  <c r="V79" i="67" s="1"/>
  <c r="N22" i="24" s="1"/>
  <c r="I9" i="54" s="1"/>
  <c r="V50" i="2"/>
  <c r="V50" i="65"/>
  <c r="K49" i="55"/>
  <c r="K42" i="67"/>
  <c r="V42" i="66"/>
  <c r="K42" i="2"/>
  <c r="V42" i="67"/>
  <c r="V42" i="65"/>
  <c r="N29" i="58"/>
  <c r="O29" i="58" s="1"/>
  <c r="I8" i="54" l="1"/>
  <c r="I7" i="54"/>
  <c r="K396" i="58"/>
  <c r="I39" i="75" s="1"/>
  <c r="K39" i="75" s="1"/>
  <c r="M396" i="58"/>
  <c r="M368" i="58"/>
  <c r="K368" i="58"/>
  <c r="I39" i="73" s="1"/>
  <c r="K39" i="73" s="1"/>
  <c r="M340" i="58"/>
  <c r="K340" i="58"/>
  <c r="I39" i="55" s="1"/>
  <c r="K39" i="55" s="1"/>
  <c r="M312" i="58"/>
  <c r="K312" i="58"/>
  <c r="T40" i="65" s="1"/>
  <c r="V40" i="65" s="1"/>
  <c r="K284" i="58"/>
  <c r="I40" i="65" s="1"/>
  <c r="M284" i="58"/>
  <c r="M256" i="58"/>
  <c r="K256" i="58"/>
  <c r="T40" i="2" s="1"/>
  <c r="K228" i="58"/>
  <c r="I40" i="2" s="1"/>
  <c r="K40" i="2" s="1"/>
  <c r="M228" i="58"/>
  <c r="K198" i="58"/>
  <c r="I39" i="74" s="1"/>
  <c r="K39" i="74" s="1"/>
  <c r="M198" i="58"/>
  <c r="M170" i="58"/>
  <c r="K170" i="58"/>
  <c r="T40" i="67" s="1"/>
  <c r="V40" i="67" s="1"/>
  <c r="M142" i="58"/>
  <c r="K142" i="58"/>
  <c r="I40" i="67" s="1"/>
  <c r="K40" i="67" s="1"/>
  <c r="I187" i="58"/>
  <c r="N187" i="58" s="1"/>
  <c r="K114" i="58"/>
  <c r="T40" i="66" s="1"/>
  <c r="V40" i="66" s="1"/>
  <c r="M114" i="58"/>
  <c r="N96" i="58"/>
  <c r="K86" i="58"/>
  <c r="I40" i="66" s="1"/>
  <c r="M86" i="58"/>
  <c r="I181" i="58"/>
  <c r="I232" i="58" s="1"/>
  <c r="I68" i="58"/>
  <c r="N68" i="58" s="1"/>
  <c r="N21" i="58"/>
  <c r="O21" i="58" s="1"/>
  <c r="I37" i="58"/>
  <c r="N377" i="58"/>
  <c r="I321" i="58"/>
  <c r="I349" i="58"/>
  <c r="I265" i="58"/>
  <c r="I293" i="58"/>
  <c r="I209" i="58"/>
  <c r="I237" i="58"/>
  <c r="I151" i="58"/>
  <c r="I179" i="58"/>
  <c r="I95" i="58"/>
  <c r="I123" i="58"/>
  <c r="I67" i="58"/>
  <c r="N66" i="58"/>
  <c r="N36" i="58"/>
  <c r="O36" i="58" s="1"/>
  <c r="I75" i="58"/>
  <c r="N75" i="58" s="1"/>
  <c r="N26" i="58"/>
  <c r="O26" i="58" s="1"/>
  <c r="I131" i="58"/>
  <c r="N131" i="58" s="1"/>
  <c r="N220" i="58"/>
  <c r="I210" i="58"/>
  <c r="N210" i="58" s="1"/>
  <c r="N260" i="58" s="1"/>
  <c r="I72" i="58"/>
  <c r="N72" i="58" s="1"/>
  <c r="N27" i="58"/>
  <c r="O27" i="58" s="1"/>
  <c r="I146" i="58"/>
  <c r="N19" i="58"/>
  <c r="O19" i="58" s="1"/>
  <c r="I153" i="58"/>
  <c r="I204" i="58" s="1"/>
  <c r="I118" i="58"/>
  <c r="I124" i="58"/>
  <c r="N124" i="58" s="1"/>
  <c r="N174" i="58" s="1"/>
  <c r="I217" i="58"/>
  <c r="N217" i="58" s="1"/>
  <c r="N360" i="58"/>
  <c r="I159" i="58"/>
  <c r="N159" i="58" s="1"/>
  <c r="N18" i="58"/>
  <c r="O18" i="58" s="1"/>
  <c r="K40" i="66"/>
  <c r="I81" i="58"/>
  <c r="N81" i="58" s="1"/>
  <c r="V43" i="66"/>
  <c r="E43" i="66"/>
  <c r="K43" i="66" s="1"/>
  <c r="N28" i="24"/>
  <c r="N34" i="24"/>
  <c r="I6" i="54" s="1"/>
  <c r="N55" i="24" s="1"/>
  <c r="I76" i="58"/>
  <c r="N76" i="58" s="1"/>
  <c r="I193" i="58"/>
  <c r="N193" i="58" s="1"/>
  <c r="I362" i="58"/>
  <c r="N362" i="58" s="1"/>
  <c r="I390" i="58"/>
  <c r="N390" i="58" s="1"/>
  <c r="I364" i="58"/>
  <c r="N364" i="58" s="1"/>
  <c r="I392" i="58"/>
  <c r="N392" i="58" s="1"/>
  <c r="I385" i="58"/>
  <c r="N385" i="58" s="1"/>
  <c r="I357" i="58"/>
  <c r="N357" i="58" s="1"/>
  <c r="I329" i="58"/>
  <c r="N329" i="58" s="1"/>
  <c r="I301" i="58"/>
  <c r="N301" i="58" s="1"/>
  <c r="I245" i="58"/>
  <c r="N245" i="58" s="1"/>
  <c r="I273" i="58"/>
  <c r="N273" i="58" s="1"/>
  <c r="N388" i="58"/>
  <c r="I70" i="58"/>
  <c r="N70" i="58" s="1"/>
  <c r="I380" i="58"/>
  <c r="N380" i="58" s="1"/>
  <c r="I352" i="58"/>
  <c r="N352" i="58" s="1"/>
  <c r="I324" i="58"/>
  <c r="N324" i="58" s="1"/>
  <c r="I296" i="58"/>
  <c r="N296" i="58" s="1"/>
  <c r="I240" i="58"/>
  <c r="N240" i="58" s="1"/>
  <c r="I268" i="58"/>
  <c r="N268" i="58" s="1"/>
  <c r="I386" i="58"/>
  <c r="N386" i="58" s="1"/>
  <c r="I358" i="58"/>
  <c r="N358" i="58" s="1"/>
  <c r="I330" i="58"/>
  <c r="N330" i="58" s="1"/>
  <c r="I302" i="58"/>
  <c r="N302" i="58" s="1"/>
  <c r="I274" i="58"/>
  <c r="N274" i="58" s="1"/>
  <c r="I246" i="58"/>
  <c r="N246" i="58" s="1"/>
  <c r="I365" i="58"/>
  <c r="N365" i="58" s="1"/>
  <c r="I393" i="58"/>
  <c r="N393" i="58" s="1"/>
  <c r="I363" i="58"/>
  <c r="N363" i="58" s="1"/>
  <c r="I391" i="58"/>
  <c r="N391" i="58" s="1"/>
  <c r="I382" i="58"/>
  <c r="N382" i="58" s="1"/>
  <c r="I354" i="58"/>
  <c r="N354" i="58" s="1"/>
  <c r="I325" i="58"/>
  <c r="I298" i="58"/>
  <c r="I270" i="58"/>
  <c r="N270" i="58" s="1"/>
  <c r="I242" i="58"/>
  <c r="N242" i="58" s="1"/>
  <c r="I379" i="58"/>
  <c r="I351" i="58"/>
  <c r="N351" i="58" s="1"/>
  <c r="I323" i="58"/>
  <c r="N323" i="58" s="1"/>
  <c r="I295" i="58"/>
  <c r="N295" i="58" s="1"/>
  <c r="I239" i="58"/>
  <c r="N239" i="58" s="1"/>
  <c r="I267" i="58"/>
  <c r="N267" i="58" s="1"/>
  <c r="I366" i="58"/>
  <c r="N366" i="58" s="1"/>
  <c r="I394" i="58"/>
  <c r="N394" i="58" s="1"/>
  <c r="I367" i="58"/>
  <c r="N367" i="58" s="1"/>
  <c r="I395" i="58"/>
  <c r="N395" i="58" s="1"/>
  <c r="I378" i="58"/>
  <c r="N378" i="58" s="1"/>
  <c r="I350" i="58"/>
  <c r="N350" i="58" s="1"/>
  <c r="I322" i="58"/>
  <c r="N322" i="58" s="1"/>
  <c r="I294" i="58"/>
  <c r="N294" i="58" s="1"/>
  <c r="I266" i="58"/>
  <c r="I238" i="58"/>
  <c r="I309" i="58"/>
  <c r="N309" i="58" s="1"/>
  <c r="I337" i="58"/>
  <c r="N337" i="58" s="1"/>
  <c r="I335" i="58"/>
  <c r="N335" i="58" s="1"/>
  <c r="I307" i="58"/>
  <c r="N307" i="58" s="1"/>
  <c r="I334" i="58"/>
  <c r="N334" i="58" s="1"/>
  <c r="I306" i="58"/>
  <c r="N306" i="58" s="1"/>
  <c r="I338" i="58"/>
  <c r="N338" i="58" s="1"/>
  <c r="I310" i="58"/>
  <c r="N310" i="58" s="1"/>
  <c r="I339" i="58"/>
  <c r="N339" i="58" s="1"/>
  <c r="I311" i="58"/>
  <c r="N311" i="58" s="1"/>
  <c r="N304" i="58"/>
  <c r="I137" i="58"/>
  <c r="N137" i="58" s="1"/>
  <c r="I308" i="58"/>
  <c r="N308" i="58" s="1"/>
  <c r="I336" i="58"/>
  <c r="N336" i="58" s="1"/>
  <c r="N332" i="58"/>
  <c r="N248" i="58"/>
  <c r="N85" i="58"/>
  <c r="I225" i="58"/>
  <c r="N225" i="58" s="1"/>
  <c r="I253" i="58"/>
  <c r="N253" i="58" s="1"/>
  <c r="I281" i="58"/>
  <c r="N281" i="58" s="1"/>
  <c r="I223" i="58"/>
  <c r="N223" i="58" s="1"/>
  <c r="I279" i="58"/>
  <c r="N279" i="58" s="1"/>
  <c r="I251" i="58"/>
  <c r="N251" i="58" s="1"/>
  <c r="I226" i="58"/>
  <c r="N226" i="58" s="1"/>
  <c r="I282" i="58"/>
  <c r="N282" i="58" s="1"/>
  <c r="I254" i="58"/>
  <c r="N254" i="58" s="1"/>
  <c r="I227" i="58"/>
  <c r="N227" i="58" s="1"/>
  <c r="I283" i="58"/>
  <c r="N283" i="58" s="1"/>
  <c r="I255" i="58"/>
  <c r="N255" i="58" s="1"/>
  <c r="N82" i="58"/>
  <c r="I222" i="58"/>
  <c r="N222" i="58" s="1"/>
  <c r="I278" i="58"/>
  <c r="N278" i="58" s="1"/>
  <c r="I250" i="58"/>
  <c r="I224" i="58"/>
  <c r="N224" i="58" s="1"/>
  <c r="I252" i="58"/>
  <c r="N252" i="58" s="1"/>
  <c r="I280" i="58"/>
  <c r="N280" i="58" s="1"/>
  <c r="N276" i="58"/>
  <c r="N84" i="58"/>
  <c r="N78" i="58"/>
  <c r="I113" i="58"/>
  <c r="N113" i="58" s="1"/>
  <c r="N33" i="58"/>
  <c r="O33" i="58" s="1"/>
  <c r="I138" i="58"/>
  <c r="N138" i="58" s="1"/>
  <c r="N35" i="58"/>
  <c r="O35" i="58" s="1"/>
  <c r="I169" i="58"/>
  <c r="N169" i="58" s="1"/>
  <c r="I194" i="58"/>
  <c r="N194" i="58" s="1"/>
  <c r="I197" i="58"/>
  <c r="N197" i="58" s="1"/>
  <c r="I83" i="58"/>
  <c r="N83" i="58" s="1"/>
  <c r="I110" i="58"/>
  <c r="N110" i="58" s="1"/>
  <c r="I141" i="58"/>
  <c r="N141" i="58" s="1"/>
  <c r="I98" i="58"/>
  <c r="N98" i="58" s="1"/>
  <c r="I212" i="58"/>
  <c r="N212" i="58" s="1"/>
  <c r="I126" i="58"/>
  <c r="N126" i="58" s="1"/>
  <c r="I182" i="58"/>
  <c r="N182" i="58" s="1"/>
  <c r="I154" i="58"/>
  <c r="N154" i="58" s="1"/>
  <c r="I104" i="58"/>
  <c r="N104" i="58" s="1"/>
  <c r="I132" i="58"/>
  <c r="N132" i="58" s="1"/>
  <c r="I218" i="58"/>
  <c r="N218" i="58" s="1"/>
  <c r="I188" i="58"/>
  <c r="N188" i="58" s="1"/>
  <c r="I160" i="58"/>
  <c r="N160" i="58" s="1"/>
  <c r="I100" i="58"/>
  <c r="N100" i="58" s="1"/>
  <c r="I184" i="58"/>
  <c r="N184" i="58" s="1"/>
  <c r="I156" i="58"/>
  <c r="N156" i="58" s="1"/>
  <c r="I128" i="58"/>
  <c r="N128" i="58" s="1"/>
  <c r="I214" i="58"/>
  <c r="N214" i="58" s="1"/>
  <c r="I109" i="58"/>
  <c r="N109" i="58" s="1"/>
  <c r="I97" i="58"/>
  <c r="N97" i="58" s="1"/>
  <c r="I180" i="58"/>
  <c r="N180" i="58" s="1"/>
  <c r="I125" i="58"/>
  <c r="N125" i="58" s="1"/>
  <c r="I152" i="58"/>
  <c r="N152" i="58" s="1"/>
  <c r="I211" i="58"/>
  <c r="N211" i="58" s="1"/>
  <c r="I165" i="58"/>
  <c r="N165" i="58" s="1"/>
  <c r="N103" i="58"/>
  <c r="I166" i="58"/>
  <c r="N166" i="58" s="1"/>
  <c r="I108" i="58"/>
  <c r="N108" i="58" s="1"/>
  <c r="I136" i="58"/>
  <c r="N136" i="58" s="1"/>
  <c r="I192" i="58"/>
  <c r="N192" i="58" s="1"/>
  <c r="I164" i="58"/>
  <c r="N164" i="58" s="1"/>
  <c r="I111" i="58"/>
  <c r="N111" i="58" s="1"/>
  <c r="I167" i="58"/>
  <c r="N167" i="58" s="1"/>
  <c r="I195" i="58"/>
  <c r="N195" i="58" s="1"/>
  <c r="I139" i="58"/>
  <c r="N139" i="58" s="1"/>
  <c r="N190" i="58"/>
  <c r="N162" i="58"/>
  <c r="N134" i="58"/>
  <c r="I80" i="58"/>
  <c r="N80" i="58" s="1"/>
  <c r="I112" i="58"/>
  <c r="N112" i="58" s="1"/>
  <c r="I140" i="58"/>
  <c r="N140" i="58" s="1"/>
  <c r="I196" i="58"/>
  <c r="N196" i="58" s="1"/>
  <c r="I168" i="58"/>
  <c r="N168" i="58" s="1"/>
  <c r="N106" i="58"/>
  <c r="I69" i="58"/>
  <c r="N69" i="58" s="1"/>
  <c r="V43" i="65"/>
  <c r="V40" i="2"/>
  <c r="V43" i="2"/>
  <c r="V43" i="67"/>
  <c r="K40" i="65"/>
  <c r="N20" i="58"/>
  <c r="O34" i="58"/>
  <c r="I11" i="54" l="1"/>
  <c r="I12" i="54"/>
  <c r="I10" i="54"/>
  <c r="I396" i="58"/>
  <c r="I40" i="75" s="1"/>
  <c r="K40" i="75" s="1"/>
  <c r="K37" i="75" s="1"/>
  <c r="I84" i="75" s="1"/>
  <c r="K84" i="75" s="1"/>
  <c r="K87" i="75" s="1"/>
  <c r="E103" i="75" s="1"/>
  <c r="G103" i="75" s="1"/>
  <c r="N349" i="58"/>
  <c r="N368" i="58" s="1"/>
  <c r="O368" i="58" s="1"/>
  <c r="I368" i="58"/>
  <c r="I40" i="73" s="1"/>
  <c r="K40" i="73" s="1"/>
  <c r="K37" i="73" s="1"/>
  <c r="I84" i="73" s="1"/>
  <c r="K84" i="73" s="1"/>
  <c r="K87" i="73" s="1"/>
  <c r="E103" i="73" s="1"/>
  <c r="G103" i="73" s="1"/>
  <c r="N321" i="58"/>
  <c r="I340" i="58"/>
  <c r="I40" i="55" s="1"/>
  <c r="K40" i="55" s="1"/>
  <c r="K37" i="55" s="1"/>
  <c r="I84" i="55" s="1"/>
  <c r="K84" i="55" s="1"/>
  <c r="K87" i="55" s="1"/>
  <c r="E103" i="55" s="1"/>
  <c r="G103" i="55" s="1"/>
  <c r="I312" i="58"/>
  <c r="T41" i="65" s="1"/>
  <c r="N293" i="58"/>
  <c r="N265" i="58"/>
  <c r="I284" i="58"/>
  <c r="I41" i="65" s="1"/>
  <c r="N237" i="58"/>
  <c r="I256" i="58"/>
  <c r="T41" i="2" s="1"/>
  <c r="N209" i="58"/>
  <c r="N228" i="58" s="1"/>
  <c r="O228" i="58" s="1"/>
  <c r="I228" i="58"/>
  <c r="I41" i="2" s="1"/>
  <c r="K41" i="2" s="1"/>
  <c r="K38" i="2" s="1"/>
  <c r="N179" i="58"/>
  <c r="I198" i="58"/>
  <c r="I40" i="74" s="1"/>
  <c r="K40" i="74" s="1"/>
  <c r="K37" i="74" s="1"/>
  <c r="I84" i="74" s="1"/>
  <c r="K84" i="74" s="1"/>
  <c r="K87" i="74" s="1"/>
  <c r="E102" i="74" s="1"/>
  <c r="G102" i="74" s="1"/>
  <c r="N151" i="58"/>
  <c r="I170" i="58"/>
  <c r="T41" i="67" s="1"/>
  <c r="N123" i="58"/>
  <c r="N142" i="58" s="1"/>
  <c r="O142" i="58" s="1"/>
  <c r="I142" i="58"/>
  <c r="I41" i="67" s="1"/>
  <c r="K41" i="67" s="1"/>
  <c r="K38" i="67" s="1"/>
  <c r="I81" i="67" s="1"/>
  <c r="N181" i="58"/>
  <c r="N232" i="58" s="1"/>
  <c r="N95" i="58"/>
  <c r="I114" i="58"/>
  <c r="T41" i="66" s="1"/>
  <c r="N67" i="58"/>
  <c r="N86" i="58" s="1"/>
  <c r="I86" i="58"/>
  <c r="N37" i="58"/>
  <c r="O37" i="58" s="1"/>
  <c r="N146" i="58"/>
  <c r="I260" i="58"/>
  <c r="I174" i="58"/>
  <c r="N118" i="58"/>
  <c r="N153" i="58"/>
  <c r="N204" i="58" s="1"/>
  <c r="N379" i="58"/>
  <c r="N396" i="58" s="1"/>
  <c r="O396" i="58" s="1"/>
  <c r="I372" i="58"/>
  <c r="N325" i="58"/>
  <c r="N372" i="58" s="1"/>
  <c r="I288" i="58"/>
  <c r="N238" i="58"/>
  <c r="N288" i="58" s="1"/>
  <c r="I316" i="58"/>
  <c r="N266" i="58"/>
  <c r="N316" i="58" s="1"/>
  <c r="I344" i="58"/>
  <c r="N298" i="58"/>
  <c r="N344" i="58" s="1"/>
  <c r="N250" i="58"/>
  <c r="O20" i="58"/>
  <c r="K68" i="2" l="1"/>
  <c r="K70" i="2" s="1"/>
  <c r="I29" i="24" s="1"/>
  <c r="L29" i="24" s="1"/>
  <c r="I81" i="2"/>
  <c r="N340" i="58"/>
  <c r="O340" i="58" s="1"/>
  <c r="N312" i="58"/>
  <c r="O312" i="58" s="1"/>
  <c r="N284" i="58"/>
  <c r="O284" i="58" s="1"/>
  <c r="N256" i="58"/>
  <c r="O256" i="58" s="1"/>
  <c r="N198" i="58"/>
  <c r="O198" i="58" s="1"/>
  <c r="N170" i="58"/>
  <c r="O170" i="58" s="1"/>
  <c r="N114" i="58"/>
  <c r="O114" i="58" s="1"/>
  <c r="O86" i="58"/>
  <c r="K67" i="74"/>
  <c r="K69" i="74" s="1"/>
  <c r="E101" i="74" s="1"/>
  <c r="G101" i="74" s="1"/>
  <c r="V41" i="66"/>
  <c r="V38" i="66" s="1"/>
  <c r="I41" i="66"/>
  <c r="K41" i="66" s="1"/>
  <c r="K38" i="66" s="1"/>
  <c r="J38" i="24"/>
  <c r="K67" i="75"/>
  <c r="K69" i="75" s="1"/>
  <c r="K67" i="55"/>
  <c r="K69" i="55" s="1"/>
  <c r="J25" i="24"/>
  <c r="K81" i="2"/>
  <c r="K88" i="2" s="1"/>
  <c r="K67" i="73"/>
  <c r="K69" i="73" s="1"/>
  <c r="K41" i="65"/>
  <c r="K38" i="65" s="1"/>
  <c r="V41" i="67"/>
  <c r="V38" i="67" s="1"/>
  <c r="T85" i="67" s="1"/>
  <c r="V85" i="67" s="1"/>
  <c r="V41" i="2"/>
  <c r="V38" i="2" s="1"/>
  <c r="V41" i="65"/>
  <c r="V38" i="65" s="1"/>
  <c r="T85" i="65" s="1"/>
  <c r="V85" i="65" s="1"/>
  <c r="J34" i="24"/>
  <c r="K68" i="67"/>
  <c r="K81" i="67"/>
  <c r="K88" i="67" s="1"/>
  <c r="J23" i="24" s="1"/>
  <c r="I38" i="24" l="1"/>
  <c r="L38" i="24" s="1"/>
  <c r="E102" i="75"/>
  <c r="G102" i="75" s="1"/>
  <c r="I36" i="24"/>
  <c r="L36" i="24" s="1"/>
  <c r="E102" i="73"/>
  <c r="G102" i="73" s="1"/>
  <c r="E102" i="55"/>
  <c r="G102" i="55" s="1"/>
  <c r="E111" i="55"/>
  <c r="K81" i="66"/>
  <c r="K88" i="66" s="1"/>
  <c r="I81" i="66"/>
  <c r="K81" i="65"/>
  <c r="K88" i="65" s="1"/>
  <c r="J32" i="24" s="1"/>
  <c r="I81" i="65"/>
  <c r="I34" i="24"/>
  <c r="L34" i="24" s="1"/>
  <c r="K89" i="55"/>
  <c r="I25" i="24"/>
  <c r="K89" i="74"/>
  <c r="T85" i="2"/>
  <c r="V85" i="2" s="1"/>
  <c r="V68" i="2"/>
  <c r="V70" i="2" s="1"/>
  <c r="P103" i="2" s="1"/>
  <c r="R103" i="2" s="1"/>
  <c r="T85" i="66"/>
  <c r="V85" i="66" s="1"/>
  <c r="V68" i="66"/>
  <c r="V70" i="66" s="1"/>
  <c r="K70" i="67"/>
  <c r="I23" i="24" s="1"/>
  <c r="L23" i="24" s="1"/>
  <c r="K68" i="66"/>
  <c r="K70" i="66" s="1"/>
  <c r="K90" i="2"/>
  <c r="T78" i="2" s="1"/>
  <c r="J29" i="24"/>
  <c r="I123" i="75"/>
  <c r="G123" i="75"/>
  <c r="E123" i="75"/>
  <c r="I112" i="75"/>
  <c r="G112" i="75"/>
  <c r="E112" i="75"/>
  <c r="I123" i="73"/>
  <c r="G123" i="73"/>
  <c r="E123" i="73"/>
  <c r="I112" i="73"/>
  <c r="G112" i="73"/>
  <c r="E112" i="73"/>
  <c r="I125" i="75"/>
  <c r="G125" i="75"/>
  <c r="E125" i="75"/>
  <c r="I114" i="75"/>
  <c r="G114" i="75"/>
  <c r="E114" i="75"/>
  <c r="I124" i="55"/>
  <c r="G124" i="55"/>
  <c r="E124" i="55"/>
  <c r="I113" i="55"/>
  <c r="G113" i="55"/>
  <c r="E113" i="55"/>
  <c r="I123" i="74"/>
  <c r="G123" i="74"/>
  <c r="E123" i="74"/>
  <c r="I112" i="74"/>
  <c r="G112" i="74"/>
  <c r="E112" i="74"/>
  <c r="I122" i="55"/>
  <c r="G122" i="55"/>
  <c r="E122" i="55"/>
  <c r="I111" i="55"/>
  <c r="G111" i="55"/>
  <c r="I121" i="74"/>
  <c r="G121" i="74"/>
  <c r="E121" i="74"/>
  <c r="I110" i="74"/>
  <c r="G110" i="74"/>
  <c r="E110" i="74"/>
  <c r="K71" i="75"/>
  <c r="K71" i="73"/>
  <c r="K71" i="55"/>
  <c r="K71" i="74"/>
  <c r="K89" i="75"/>
  <c r="J36" i="24"/>
  <c r="K68" i="65"/>
  <c r="K70" i="65" s="1"/>
  <c r="V68" i="65"/>
  <c r="V70" i="65" s="1"/>
  <c r="V68" i="67"/>
  <c r="V70" i="67" s="1"/>
  <c r="P103" i="67" s="1"/>
  <c r="R103" i="67" s="1"/>
  <c r="K38" i="24" l="1"/>
  <c r="M38" i="24" s="1"/>
  <c r="E104" i="75"/>
  <c r="G104" i="75" s="1"/>
  <c r="K34" i="24"/>
  <c r="M34" i="24" s="1"/>
  <c r="E104" i="55"/>
  <c r="G104" i="55" s="1"/>
  <c r="T123" i="65"/>
  <c r="P112" i="65"/>
  <c r="R123" i="65"/>
  <c r="T112" i="65"/>
  <c r="P103" i="65"/>
  <c r="R103" i="65" s="1"/>
  <c r="P123" i="65"/>
  <c r="R112" i="65"/>
  <c r="K25" i="24"/>
  <c r="E103" i="74"/>
  <c r="G103" i="74" s="1"/>
  <c r="T124" i="66"/>
  <c r="R124" i="66"/>
  <c r="P124" i="66"/>
  <c r="T113" i="66"/>
  <c r="P103" i="66"/>
  <c r="R103" i="66" s="1"/>
  <c r="R113" i="66"/>
  <c r="P113" i="66"/>
  <c r="I20" i="24"/>
  <c r="L20" i="24" s="1"/>
  <c r="J20" i="24"/>
  <c r="K90" i="67"/>
  <c r="T78" i="67" s="1"/>
  <c r="V78" i="67" s="1"/>
  <c r="V88" i="67" s="1"/>
  <c r="I31" i="24"/>
  <c r="D8" i="54" s="1"/>
  <c r="V72" i="65"/>
  <c r="G114" i="74"/>
  <c r="K91" i="74"/>
  <c r="I22" i="24"/>
  <c r="L22" i="24" s="1"/>
  <c r="I19" i="24"/>
  <c r="V72" i="66"/>
  <c r="K90" i="66"/>
  <c r="T78" i="66" s="1"/>
  <c r="K90" i="65"/>
  <c r="T78" i="65" s="1"/>
  <c r="I32" i="24"/>
  <c r="V78" i="2"/>
  <c r="V88" i="2" s="1"/>
  <c r="P104" i="2" s="1"/>
  <c r="R104" i="2" s="1"/>
  <c r="K29" i="24"/>
  <c r="M29" i="24" s="1"/>
  <c r="I28" i="24"/>
  <c r="I127" i="75"/>
  <c r="G127" i="75"/>
  <c r="E127" i="75"/>
  <c r="I116" i="75"/>
  <c r="G116" i="75"/>
  <c r="E116" i="75"/>
  <c r="K92" i="75"/>
  <c r="I125" i="74"/>
  <c r="G125" i="74"/>
  <c r="E125" i="74"/>
  <c r="I114" i="74"/>
  <c r="E114" i="74"/>
  <c r="I126" i="55"/>
  <c r="G126" i="55"/>
  <c r="E126" i="55"/>
  <c r="I115" i="55"/>
  <c r="G115" i="55"/>
  <c r="E115" i="55"/>
  <c r="K92" i="55"/>
  <c r="K89" i="73"/>
  <c r="I125" i="73"/>
  <c r="G125" i="73"/>
  <c r="E125" i="73"/>
  <c r="I114" i="73"/>
  <c r="G114" i="73"/>
  <c r="E114" i="73"/>
  <c r="P112" i="2"/>
  <c r="V72" i="2"/>
  <c r="P123" i="2"/>
  <c r="R123" i="2"/>
  <c r="T112" i="2"/>
  <c r="T123" i="2"/>
  <c r="R112" i="2"/>
  <c r="P123" i="67"/>
  <c r="T123" i="67"/>
  <c r="R123" i="67"/>
  <c r="T112" i="67"/>
  <c r="R112" i="67"/>
  <c r="P112" i="67"/>
  <c r="V72" i="67"/>
  <c r="L25" i="24"/>
  <c r="K36" i="24" l="1"/>
  <c r="M36" i="24" s="1"/>
  <c r="E104" i="73"/>
  <c r="G104" i="73" s="1"/>
  <c r="V90" i="67"/>
  <c r="P105" i="67" s="1"/>
  <c r="R105" i="67" s="1"/>
  <c r="P104" i="67"/>
  <c r="R104" i="67" s="1"/>
  <c r="D6" i="54"/>
  <c r="D7" i="54"/>
  <c r="K23" i="24"/>
  <c r="M23" i="24" s="1"/>
  <c r="D9" i="54"/>
  <c r="G9" i="54"/>
  <c r="D11" i="54"/>
  <c r="D10" i="54"/>
  <c r="D12" i="54"/>
  <c r="L19" i="24"/>
  <c r="G13" i="54" s="1"/>
  <c r="D13" i="54"/>
  <c r="J28" i="24"/>
  <c r="J22" i="24"/>
  <c r="E9" i="54" s="1"/>
  <c r="L28" i="24"/>
  <c r="L32" i="24"/>
  <c r="V78" i="66"/>
  <c r="V88" i="66" s="1"/>
  <c r="K20" i="24"/>
  <c r="M20" i="24" s="1"/>
  <c r="R114" i="67"/>
  <c r="P114" i="2"/>
  <c r="R114" i="2"/>
  <c r="R125" i="67"/>
  <c r="T114" i="67"/>
  <c r="P114" i="67"/>
  <c r="T125" i="67"/>
  <c r="P125" i="2"/>
  <c r="P125" i="67"/>
  <c r="T114" i="2"/>
  <c r="V90" i="2"/>
  <c r="P105" i="2" s="1"/>
  <c r="R105" i="2" s="1"/>
  <c r="R125" i="2"/>
  <c r="T125" i="2"/>
  <c r="V78" i="65"/>
  <c r="V88" i="65" s="1"/>
  <c r="K32" i="24"/>
  <c r="M32" i="24" s="1"/>
  <c r="I127" i="73"/>
  <c r="G127" i="73"/>
  <c r="E127" i="73"/>
  <c r="I116" i="73"/>
  <c r="G116" i="73"/>
  <c r="E116" i="73"/>
  <c r="K92" i="73"/>
  <c r="L31" i="24"/>
  <c r="M25" i="24"/>
  <c r="T127" i="67" l="1"/>
  <c r="I53" i="24"/>
  <c r="I55" i="24"/>
  <c r="R125" i="65"/>
  <c r="T114" i="65"/>
  <c r="P114" i="65"/>
  <c r="T125" i="65"/>
  <c r="P125" i="65"/>
  <c r="R114" i="65"/>
  <c r="P104" i="65"/>
  <c r="R104" i="65" s="1"/>
  <c r="T126" i="66"/>
  <c r="R126" i="66"/>
  <c r="P126" i="66"/>
  <c r="V90" i="66"/>
  <c r="P115" i="66"/>
  <c r="R115" i="66"/>
  <c r="P104" i="66"/>
  <c r="R104" i="66" s="1"/>
  <c r="T115" i="66"/>
  <c r="G12" i="54"/>
  <c r="G11" i="54"/>
  <c r="G10" i="54"/>
  <c r="G8" i="54"/>
  <c r="G6" i="54"/>
  <c r="L55" i="24" s="1"/>
  <c r="G7" i="54"/>
  <c r="E10" i="54"/>
  <c r="E12" i="54"/>
  <c r="E11" i="54"/>
  <c r="K22" i="24"/>
  <c r="F9" i="54" s="1"/>
  <c r="K28" i="24"/>
  <c r="M28" i="24" s="1"/>
  <c r="J19" i="24"/>
  <c r="E13" i="54" s="1"/>
  <c r="P116" i="67"/>
  <c r="P116" i="2"/>
  <c r="T127" i="2"/>
  <c r="V93" i="67"/>
  <c r="R127" i="67"/>
  <c r="T116" i="67"/>
  <c r="R116" i="67"/>
  <c r="P127" i="67"/>
  <c r="R127" i="2"/>
  <c r="R116" i="2"/>
  <c r="P127" i="2"/>
  <c r="V93" i="2"/>
  <c r="T116" i="2"/>
  <c r="J31" i="24"/>
  <c r="V90" i="65"/>
  <c r="T116" i="65" l="1"/>
  <c r="R116" i="65"/>
  <c r="P105" i="65"/>
  <c r="R105" i="65" s="1"/>
  <c r="P127" i="65"/>
  <c r="P116" i="65"/>
  <c r="T127" i="65"/>
  <c r="R127" i="65"/>
  <c r="R128" i="66"/>
  <c r="T128" i="66"/>
  <c r="P128" i="66"/>
  <c r="V93" i="66"/>
  <c r="P105" i="66"/>
  <c r="R105" i="66" s="1"/>
  <c r="T117" i="66"/>
  <c r="P117" i="66"/>
  <c r="R117" i="66"/>
  <c r="M22" i="24"/>
  <c r="H9" i="54" s="1"/>
  <c r="V93" i="65"/>
  <c r="E6" i="54"/>
  <c r="E8" i="54"/>
  <c r="E7" i="54"/>
  <c r="H11" i="54"/>
  <c r="H10" i="54"/>
  <c r="H12" i="54"/>
  <c r="F10" i="54"/>
  <c r="F11" i="54"/>
  <c r="F12" i="54"/>
  <c r="K19" i="24"/>
  <c r="L53" i="24"/>
  <c r="K31" i="24"/>
  <c r="N53" i="24" l="1"/>
  <c r="F6" i="54"/>
  <c r="F8" i="54"/>
  <c r="F7" i="54"/>
  <c r="M19" i="24"/>
  <c r="H13" i="54" s="1"/>
  <c r="F13" i="54"/>
  <c r="J53" i="24"/>
  <c r="J55" i="24"/>
  <c r="M31" i="24"/>
  <c r="H8" i="54" l="1"/>
  <c r="H7" i="54"/>
  <c r="H6" i="54"/>
  <c r="M55" i="24" s="1"/>
  <c r="K55" i="24"/>
  <c r="K53" i="24"/>
  <c r="M53" i="24" l="1"/>
</calcChain>
</file>

<file path=xl/sharedStrings.xml><?xml version="1.0" encoding="utf-8"?>
<sst xmlns="http://schemas.openxmlformats.org/spreadsheetml/2006/main" count="2093" uniqueCount="579">
  <si>
    <t>Crop Oil Concentrate</t>
  </si>
  <si>
    <t>Cost/Unit</t>
  </si>
  <si>
    <t>Costs (VC)</t>
  </si>
  <si>
    <t>Machinery insurance, taxes, housing, licenses</t>
  </si>
  <si>
    <t>Annual</t>
  </si>
  <si>
    <t xml:space="preserve">Annual </t>
  </si>
  <si>
    <t>Repairs</t>
  </si>
  <si>
    <t>Type of</t>
  </si>
  <si>
    <t>Years of</t>
  </si>
  <si>
    <t>Hours</t>
  </si>
  <si>
    <t>Salvage</t>
  </si>
  <si>
    <t>Labor</t>
  </si>
  <si>
    <t>Acres</t>
  </si>
  <si>
    <t>Machine</t>
  </si>
  <si>
    <t>Machinery:</t>
  </si>
  <si>
    <r>
      <t>Overhead</t>
    </r>
    <r>
      <rPr>
        <vertAlign val="superscript"/>
        <sz val="10"/>
        <rFont val="Arial"/>
        <family val="2"/>
      </rPr>
      <t>2</t>
    </r>
  </si>
  <si>
    <t>Value</t>
  </si>
  <si>
    <t>Life</t>
  </si>
  <si>
    <t>of Use</t>
  </si>
  <si>
    <t>Multiplier</t>
  </si>
  <si>
    <t>per Hour</t>
  </si>
  <si>
    <t>$</t>
  </si>
  <si>
    <t>Equipment:</t>
  </si>
  <si>
    <t>Trucks:</t>
  </si>
  <si>
    <t>Miles/year:</t>
  </si>
  <si>
    <t xml:space="preserve">Machinery Repairs </t>
  </si>
  <si>
    <t>Total Costs per Acre</t>
  </si>
  <si>
    <t>Notes:</t>
  </si>
  <si>
    <t>Breakeven Analysis:</t>
  </si>
  <si>
    <t>-</t>
  </si>
  <si>
    <t>Base</t>
  </si>
  <si>
    <t>+</t>
  </si>
  <si>
    <t>Yield</t>
  </si>
  <si>
    <t>Adjuvants:</t>
  </si>
  <si>
    <t>Cash rent</t>
  </si>
  <si>
    <t>Cash rent:</t>
  </si>
  <si>
    <t>Crop &amp; Cost</t>
  </si>
  <si>
    <t>Brox M</t>
  </si>
  <si>
    <t>By Rotation:</t>
  </si>
  <si>
    <t>Custom &amp; Consultants:</t>
  </si>
  <si>
    <t>Other:</t>
  </si>
  <si>
    <t>Per Acre</t>
  </si>
  <si>
    <t>Unit</t>
  </si>
  <si>
    <t>Cost</t>
  </si>
  <si>
    <t>Quilt</t>
  </si>
  <si>
    <t>90' Rental Sprayer</t>
  </si>
  <si>
    <t>26' Rental Shredder</t>
  </si>
  <si>
    <t>36' Ripper Shooter</t>
  </si>
  <si>
    <t>Variable Costs</t>
  </si>
  <si>
    <t>In-Place</t>
  </si>
  <si>
    <t>Price</t>
  </si>
  <si>
    <t>Operating Cost Breakeven</t>
  </si>
  <si>
    <t>Ownership Cost Breakeven</t>
  </si>
  <si>
    <t>Storage Facility &amp; Equip. Repairs</t>
  </si>
  <si>
    <t>Machinery Labor</t>
  </si>
  <si>
    <t>Fuel:</t>
  </si>
  <si>
    <t>Pesticides:</t>
  </si>
  <si>
    <t>hour</t>
  </si>
  <si>
    <t>Interest:</t>
  </si>
  <si>
    <t>Operating Loan</t>
  </si>
  <si>
    <t>percent</t>
  </si>
  <si>
    <t>Total Cost Breakeven</t>
  </si>
  <si>
    <t>lb</t>
  </si>
  <si>
    <t>acre</t>
  </si>
  <si>
    <t>oz</t>
  </si>
  <si>
    <t>Crop insurance</t>
  </si>
  <si>
    <t>Rental Ripper Shooter</t>
  </si>
  <si>
    <t>Cost/Acre</t>
  </si>
  <si>
    <t>Gross Returns</t>
  </si>
  <si>
    <t>Seed:</t>
  </si>
  <si>
    <t>Custom Aerial</t>
  </si>
  <si>
    <t>Fertilizer:</t>
  </si>
  <si>
    <t>Total</t>
  </si>
  <si>
    <t>Returns</t>
  </si>
  <si>
    <t>Land</t>
  </si>
  <si>
    <t xml:space="preserve">Returns </t>
  </si>
  <si>
    <t xml:space="preserve">Yield </t>
  </si>
  <si>
    <t>Revenue</t>
  </si>
  <si>
    <t>over TC</t>
  </si>
  <si>
    <t>Variable</t>
  </si>
  <si>
    <t>over VC</t>
  </si>
  <si>
    <t>per acre</t>
  </si>
  <si>
    <t>per unit</t>
  </si>
  <si>
    <t>($/acre)</t>
  </si>
  <si>
    <t>Total Fixed Costs</t>
  </si>
  <si>
    <t>Total Variable Costs</t>
  </si>
  <si>
    <t>Other Labor</t>
  </si>
  <si>
    <t>Quantity</t>
  </si>
  <si>
    <t>Price or</t>
  </si>
  <si>
    <t>Value or</t>
  </si>
  <si>
    <t>Item</t>
  </si>
  <si>
    <t>bu</t>
  </si>
  <si>
    <t>Wheat Seed</t>
  </si>
  <si>
    <t>Rental Sprayer</t>
  </si>
  <si>
    <t>Osprey</t>
  </si>
  <si>
    <t>Maverick</t>
  </si>
  <si>
    <t xml:space="preserve">  Landlord</t>
  </si>
  <si>
    <t xml:space="preserve">  Tenant</t>
  </si>
  <si>
    <t>pt</t>
  </si>
  <si>
    <t>M90</t>
  </si>
  <si>
    <t>Machinery depreciation</t>
  </si>
  <si>
    <t>Machinery interest</t>
  </si>
  <si>
    <t xml:space="preserve">Fuel </t>
  </si>
  <si>
    <t>Lubricants</t>
  </si>
  <si>
    <t>gal</t>
  </si>
  <si>
    <t>Month</t>
  </si>
  <si>
    <t>Operation</t>
  </si>
  <si>
    <t>Tooling</t>
  </si>
  <si>
    <t>Harvest</t>
  </si>
  <si>
    <t>Crop-Share</t>
  </si>
  <si>
    <t>Cost (TC)</t>
  </si>
  <si>
    <t>Share</t>
  </si>
  <si>
    <t>Overhead:</t>
  </si>
  <si>
    <t>Bronate Advanced</t>
  </si>
  <si>
    <t>Poast 1.5 EC</t>
  </si>
  <si>
    <t>Ownership Costs:</t>
  </si>
  <si>
    <t>Axial XL</t>
  </si>
  <si>
    <r>
      <t>Operating Interest</t>
    </r>
    <r>
      <rPr>
        <vertAlign val="superscript"/>
        <sz val="10"/>
        <rFont val="Arial"/>
        <family val="2"/>
      </rPr>
      <t>1</t>
    </r>
  </si>
  <si>
    <t>Other labor</t>
  </si>
  <si>
    <t>Hourly machine labor</t>
  </si>
  <si>
    <t>Management fee:</t>
  </si>
  <si>
    <t xml:space="preserve">Fertilizer: </t>
  </si>
  <si>
    <t>Assure II EC</t>
  </si>
  <si>
    <t>Glyphosphate (R-up Power Max.)</t>
  </si>
  <si>
    <t>Nitrogen</t>
  </si>
  <si>
    <t xml:space="preserve"> Labor</t>
  </si>
  <si>
    <t>Huskie</t>
  </si>
  <si>
    <t>Tilt</t>
  </si>
  <si>
    <t>Cash Rent</t>
  </si>
  <si>
    <t>Times</t>
  </si>
  <si>
    <t>16 oz RoundUp</t>
  </si>
  <si>
    <t>Sulfur</t>
  </si>
  <si>
    <t>Trap Wagon</t>
  </si>
  <si>
    <t>Taxes,</t>
  </si>
  <si>
    <t>Gallons</t>
  </si>
  <si>
    <t>Housing,</t>
  </si>
  <si>
    <t>Replacement</t>
  </si>
  <si>
    <t>Age When</t>
  </si>
  <si>
    <t>(Materials</t>
  </si>
  <si>
    <t>of</t>
  </si>
  <si>
    <t>Insur.,</t>
  </si>
  <si>
    <t>Purchased</t>
  </si>
  <si>
    <t>&amp; Labor)</t>
  </si>
  <si>
    <t>Fuel/Hr.</t>
  </si>
  <si>
    <t>Licenses</t>
  </si>
  <si>
    <t>%</t>
  </si>
  <si>
    <t>Tractors, ATVs:</t>
  </si>
  <si>
    <t>MPG:</t>
  </si>
  <si>
    <t xml:space="preserve">Field </t>
  </si>
  <si>
    <t>Speed</t>
  </si>
  <si>
    <t>Width</t>
  </si>
  <si>
    <t>Field</t>
  </si>
  <si>
    <t>Efficiency</t>
  </si>
  <si>
    <t>Fuel Cost</t>
  </si>
  <si>
    <t>(ft)</t>
  </si>
  <si>
    <t>August</t>
  </si>
  <si>
    <t>Combine &amp; 30' header</t>
  </si>
  <si>
    <t>May</t>
  </si>
  <si>
    <t>2-Ton Truck</t>
  </si>
  <si>
    <t>Tandem Axle Truck</t>
  </si>
  <si>
    <t>3/4-Ton Pickup</t>
  </si>
  <si>
    <t>Depreciation</t>
  </si>
  <si>
    <t>Interest</t>
  </si>
  <si>
    <t>Fuel/Lube</t>
  </si>
  <si>
    <t>Production Costs for Soft White Winter Wheat</t>
  </si>
  <si>
    <t>4WD ATV</t>
  </si>
  <si>
    <t>2-ton truck</t>
  </si>
  <si>
    <t>Trap wagon</t>
  </si>
  <si>
    <t>3/4-ton pick-up</t>
  </si>
  <si>
    <t>Lube Cost</t>
  </si>
  <si>
    <t>ATV</t>
  </si>
  <si>
    <t>Taxes, housing, insurance, licenses</t>
  </si>
  <si>
    <t>Fuel</t>
  </si>
  <si>
    <t>Fixed (Ownership) Costs</t>
  </si>
  <si>
    <t>Labor Cost</t>
  </si>
  <si>
    <t>Labor hrs/acre</t>
  </si>
  <si>
    <t>Fuel Use gal/acre</t>
  </si>
  <si>
    <t>300HP Tractor &amp; 35' chisel plow</t>
  </si>
  <si>
    <t>300HP Tractor &amp; 90' sprayer</t>
  </si>
  <si>
    <t>300HP Tractor &amp; 36' grain drill</t>
  </si>
  <si>
    <t>Total Cost ($/Acre)</t>
  </si>
  <si>
    <t>Seasonal operations:</t>
  </si>
  <si>
    <t>Annual Costs:</t>
  </si>
  <si>
    <t>Soft White Winter Wheat</t>
  </si>
  <si>
    <t>Hard Red Winter Wheat</t>
  </si>
  <si>
    <t>Boron</t>
  </si>
  <si>
    <t>Quadris Flowable</t>
  </si>
  <si>
    <t>Powerflex</t>
  </si>
  <si>
    <t>Warrior II</t>
  </si>
  <si>
    <t>Fixed (Ownership) Costs:</t>
  </si>
  <si>
    <t>Production Costs for Hard Red Winter Wheat</t>
  </si>
  <si>
    <t>Glyphosate</t>
  </si>
  <si>
    <t>Spodnam</t>
  </si>
  <si>
    <t>Select the Rotation:</t>
  </si>
  <si>
    <t>Nitrogen (liquid)</t>
  </si>
  <si>
    <t>Phosphorous (liquid)</t>
  </si>
  <si>
    <t>Sulfur (liquid)</t>
  </si>
  <si>
    <t>Potassium (dry)</t>
  </si>
  <si>
    <t>Intermediate Loan (Machinery)</t>
  </si>
  <si>
    <t>Custom Rental/Services:</t>
  </si>
  <si>
    <t>Red Type: You may adjust data in red type &amp; all other data will be updated.</t>
  </si>
  <si>
    <t>Fixed</t>
  </si>
  <si>
    <t>Costs (FC)</t>
  </si>
  <si>
    <t>Total Cost (TC)</t>
  </si>
  <si>
    <t>of Operation</t>
  </si>
  <si>
    <t>Instructions</t>
  </si>
  <si>
    <t>Table 5</t>
  </si>
  <si>
    <t>Table 6</t>
  </si>
  <si>
    <t>Number of Passes</t>
  </si>
  <si>
    <t>Tandem axle truck</t>
  </si>
  <si>
    <t>cost/unit</t>
  </si>
  <si>
    <t>Follow directions below to preserve equations in this spreadsheet.</t>
  </si>
  <si>
    <t>Purple Type: Data are from Summary page (purple tab).</t>
  </si>
  <si>
    <t>Green Type: Data are from Input costs page (green tab).</t>
  </si>
  <si>
    <t>Blue Type: Data are from the Machinery page (blue tab).</t>
  </si>
  <si>
    <t>Rate per mile:</t>
  </si>
  <si>
    <t>Roundtrip distance (miles):</t>
  </si>
  <si>
    <t>Storage costs:</t>
  </si>
  <si>
    <t>Canola storage</t>
  </si>
  <si>
    <t>Load volume (50lb bu):</t>
  </si>
  <si>
    <t>Load volume (60lb bu):</t>
  </si>
  <si>
    <t>per 60lb bu, per mo.</t>
  </si>
  <si>
    <t>per 50lb bu, per mo.</t>
  </si>
  <si>
    <t>Wheat storage</t>
  </si>
  <si>
    <t>Costs for Preceding Fallow Year</t>
  </si>
  <si>
    <t>300HP Tractor &amp; Bankout wagon</t>
  </si>
  <si>
    <t>Table 7</t>
  </si>
  <si>
    <t>Table 8</t>
  </si>
  <si>
    <t>Table 9</t>
  </si>
  <si>
    <t>Percentage of crop stored:</t>
  </si>
  <si>
    <t>Rate per bu, per month:</t>
  </si>
  <si>
    <t>Storage</t>
  </si>
  <si>
    <t>Rate per (50lb) bu, per month:</t>
  </si>
  <si>
    <t xml:space="preserve">Avg. 20 mile roundtrip </t>
  </si>
  <si>
    <r>
      <t>Post-harvest storage and transportation</t>
    </r>
    <r>
      <rPr>
        <b/>
        <vertAlign val="superscript"/>
        <sz val="10"/>
        <rFont val="Arial"/>
        <family val="2"/>
      </rPr>
      <t>3</t>
    </r>
    <r>
      <rPr>
        <b/>
        <sz val="10"/>
        <rFont val="Arial"/>
        <family val="2"/>
      </rPr>
      <t>:</t>
    </r>
  </si>
  <si>
    <r>
      <t>Operating Interest</t>
    </r>
    <r>
      <rPr>
        <vertAlign val="superscript"/>
        <sz val="10"/>
        <rFont val="Arial"/>
        <family val="2"/>
      </rPr>
      <t>4</t>
    </r>
  </si>
  <si>
    <r>
      <t>Overhead</t>
    </r>
    <r>
      <rPr>
        <vertAlign val="superscript"/>
        <sz val="10"/>
        <rFont val="Arial"/>
        <family val="2"/>
      </rPr>
      <t>5</t>
    </r>
  </si>
  <si>
    <r>
      <t>Management fee</t>
    </r>
    <r>
      <rPr>
        <vertAlign val="superscript"/>
        <sz val="10"/>
        <rFont val="Arial"/>
        <family val="2"/>
      </rPr>
      <t>6</t>
    </r>
  </si>
  <si>
    <t>Adjust costs on the individual crop budgets in tabs numbered 1-5 and totals will update here on the Summary tab.</t>
  </si>
  <si>
    <t>Note: Per acre machinery costs are calculated in the University of Idaho Machinery Cost Program using the values in the Machinery Complement tab.</t>
  </si>
  <si>
    <t>Blue Type: Data are from the Machinery Costs page (blue tab).</t>
  </si>
  <si>
    <t>Miles/acre</t>
  </si>
  <si>
    <t>Soft White Winter Wheat (SWWW)</t>
  </si>
  <si>
    <t>Hard Red Winter Wheat (HRWW)</t>
  </si>
  <si>
    <t>Budget(s):</t>
  </si>
  <si>
    <t>(mph)</t>
  </si>
  <si>
    <t>http://web.cals.uidaho.edu/idahoagbiz/enterprise-budgets/</t>
  </si>
  <si>
    <t>Input cost reports are available on the University of Idaho AgBiz website under "Annual Input Cost Surveys":</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</si>
  <si>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</si>
  <si>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</si>
  <si>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t>Overhead</t>
    </r>
    <r>
      <rPr>
        <vertAlign val="superscript"/>
        <sz val="10"/>
        <rFont val="Arial"/>
        <family val="2"/>
      </rPr>
      <t>3</t>
    </r>
  </si>
  <si>
    <r>
      <t>Management fee</t>
    </r>
    <r>
      <rPr>
        <vertAlign val="superscript"/>
        <sz val="10"/>
        <rFont val="Arial"/>
        <family val="2"/>
      </rPr>
      <t>4</t>
    </r>
  </si>
  <si>
    <r>
      <rPr>
        <vertAlign val="superscript"/>
        <sz val="10"/>
        <rFont val="Arial"/>
        <family val="2"/>
      </rPr>
      <t>1</t>
    </r>
    <r>
      <rPr>
        <sz val="10"/>
        <rFont val="Arial"/>
        <family val="2"/>
      </rPr>
      <t>Crop insurance estimates cost of premium for 75% of estimated revenue based on typical regional yields.</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</si>
  <si>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</si>
  <si>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Calculates legal, accounting, and utility fees as a percentage of operating expenses.</t>
    </r>
  </si>
  <si>
    <r>
      <rPr>
        <vertAlign val="superscript"/>
        <sz val="10"/>
        <rFont val="Arial"/>
        <family val="2"/>
      </rPr>
      <t>4</t>
    </r>
    <r>
      <rPr>
        <sz val="10"/>
        <rFont val="Arial"/>
        <family val="2"/>
      </rPr>
      <t>Calculated as a percentage of gross revenue.</t>
    </r>
  </si>
  <si>
    <t>Input Costs by Year</t>
  </si>
  <si>
    <t>You can customize machinery operations and number of passes on the Machinery Cost tab.</t>
  </si>
  <si>
    <t>THI</t>
  </si>
  <si>
    <t>Total $/Acre</t>
  </si>
  <si>
    <t>26' Shredder</t>
  </si>
  <si>
    <t>35' chisel plow</t>
  </si>
  <si>
    <t>90' sprayer</t>
  </si>
  <si>
    <t>36' grain drill</t>
  </si>
  <si>
    <t>bankout wagon</t>
  </si>
  <si>
    <t>Tandem axle</t>
  </si>
  <si>
    <t>150hp tractor</t>
  </si>
  <si>
    <t>**</t>
  </si>
  <si>
    <t>36' cultivator</t>
  </si>
  <si>
    <t>Total Cost $/Acre</t>
  </si>
  <si>
    <t>300HP Tractor &amp; 36' cultivator</t>
  </si>
  <si>
    <t>300HP Tractor &amp; 26' shredder</t>
  </si>
  <si>
    <t xml:space="preserve">Default cost scenarios are based on these calendars for a reduced-till system. </t>
  </si>
  <si>
    <r>
      <t>Click on the rotations below (</t>
    </r>
    <r>
      <rPr>
        <b/>
        <sz val="10"/>
        <color rgb="FFFF0000"/>
        <rFont val="Arial"/>
        <family val="2"/>
      </rPr>
      <t>red text</t>
    </r>
    <r>
      <rPr>
        <sz val="10"/>
        <rFont val="Arial"/>
        <family val="2"/>
      </rPr>
      <t>) to select and compare alternative rotations from the drop down menu.</t>
    </r>
  </si>
  <si>
    <t>adj bankout</t>
  </si>
  <si>
    <t>month(s)</t>
  </si>
  <si>
    <t>34' tandem disk harrow</t>
  </si>
  <si>
    <t>October</t>
  </si>
  <si>
    <t>Table 1. Summary of Average Annual Returns by Crop ($/acre)</t>
  </si>
  <si>
    <t>Table 2. Summary of Average Annual Returns by Rotation ($/acre)</t>
  </si>
  <si>
    <t>Soft White Spring Wheat (SWSW)</t>
  </si>
  <si>
    <t>Spring Barley (SB)</t>
  </si>
  <si>
    <t>Spring Canola (SC)</t>
  </si>
  <si>
    <t>F-HRWW-SWSW</t>
  </si>
  <si>
    <t>F-HRWW-SB</t>
  </si>
  <si>
    <t>F-HRWW-DNS</t>
  </si>
  <si>
    <t>F-SWWW-SWSW</t>
  </si>
  <si>
    <t>F-SWWW-SB</t>
  </si>
  <si>
    <t>F-SWWW-DNS</t>
  </si>
  <si>
    <t>F-HRWW-SC</t>
  </si>
  <si>
    <t>F-SWWW-SC</t>
  </si>
  <si>
    <t>Production Costs for Dark Northern Spring Wheat</t>
  </si>
  <si>
    <t>Soft White Spring Wheat</t>
  </si>
  <si>
    <t>Production Costs for Soft White Spring Wheat</t>
  </si>
  <si>
    <t>Dark Northern Spring Wheat</t>
  </si>
  <si>
    <t>Production Costs for Spring Barley</t>
  </si>
  <si>
    <t>Production Costs for Spring Canola</t>
  </si>
  <si>
    <t>Dark Northern Spring Wheat (DNS)</t>
  </si>
  <si>
    <t>By Crop:</t>
  </si>
  <si>
    <t>ton</t>
  </si>
  <si>
    <t>Spring Canola</t>
  </si>
  <si>
    <t>Dark Northern Spring</t>
  </si>
  <si>
    <t>Spring Barley</t>
  </si>
  <si>
    <t>Net Returns Above Variable Costs</t>
  </si>
  <si>
    <t>Fallow (after spring cereal, before HRWW)</t>
  </si>
  <si>
    <t>Fallow (after spring cereal, before SWWW)</t>
  </si>
  <si>
    <t>Table 10</t>
  </si>
  <si>
    <t>Table 11</t>
  </si>
  <si>
    <t>Table 12</t>
  </si>
  <si>
    <t>Table 13</t>
  </si>
  <si>
    <t>Fallow (after spring canola, before SWWW)</t>
  </si>
  <si>
    <t>Fallow (after spring canola, before HRWW)</t>
  </si>
  <si>
    <t>Table 14</t>
  </si>
  <si>
    <t>Table 15</t>
  </si>
  <si>
    <t>Table 16</t>
  </si>
  <si>
    <t xml:space="preserve">Table 6. Machinery Costs ($/acre) for Soft White Winter Wheat </t>
  </si>
  <si>
    <t>Table 9. Machinery Costs ($/acre) for Spring Canola</t>
  </si>
  <si>
    <t>Table 8. Machinery Costs ($/acre) for Hard Red Winter Wheat</t>
  </si>
  <si>
    <t>Table 11. Machinery Costs ($/acre) for Soft White Winter Wheat</t>
  </si>
  <si>
    <t>Table 13. Machinery Costs ($/acre) for Hard Red Winter Wheat</t>
  </si>
  <si>
    <t>Table 14. Machinery Costs ($/acre) for Soft White Spring Wheat</t>
  </si>
  <si>
    <t>Table 15. Machinery Costs ($/acre) for Dark Northern Spring Wheat</t>
  </si>
  <si>
    <t>Table 16. Machinery Costs ($/acre) for Spring Barley</t>
  </si>
  <si>
    <t>Table 4. Total Annual Machinery Costs ($/acre) from the University of Idaho Machinery Cost Calculator</t>
  </si>
  <si>
    <r>
      <rPr>
        <b/>
        <sz val="11"/>
        <color rgb="FF00B050"/>
        <rFont val="Arial"/>
        <family val="2"/>
      </rPr>
      <t xml:space="preserve"> F</t>
    </r>
    <r>
      <rPr>
        <b/>
        <sz val="11"/>
        <rFont val="Arial"/>
        <family val="2"/>
      </rPr>
      <t xml:space="preserve"> - SWWW - SC</t>
    </r>
  </si>
  <si>
    <t>You can customize inputs on the crop budget sheets (tabs numbered 1-3).</t>
  </si>
  <si>
    <t>Spray Weeds</t>
  </si>
  <si>
    <t xml:space="preserve">April </t>
  </si>
  <si>
    <t>480HP Quadtrac</t>
  </si>
  <si>
    <t>200HP 4WD Wheel Tractor</t>
  </si>
  <si>
    <t>480HP Tractor + 26' Shredder</t>
  </si>
  <si>
    <t>480HP Tractor + 72' Rodweeder</t>
  </si>
  <si>
    <t>480HP Tractor + 36' Cultivator</t>
  </si>
  <si>
    <t>480HP Tractor + 34' Tandem disk</t>
  </si>
  <si>
    <t>480HP Tractor + 36' Grain drill</t>
  </si>
  <si>
    <t>200HP Tractor + 90' Boom Sprayer</t>
  </si>
  <si>
    <t>April/May</t>
  </si>
  <si>
    <t>Spray</t>
  </si>
  <si>
    <t>Cultiweed/Fertilize</t>
  </si>
  <si>
    <t>June/July</t>
  </si>
  <si>
    <t>Rodweed</t>
  </si>
  <si>
    <t>36' Cultiweeder w/tankcart &amp; 480HP Tractor</t>
  </si>
  <si>
    <t>Sept/Oct</t>
  </si>
  <si>
    <t>36' seed drill &amp; 480HP tractor</t>
  </si>
  <si>
    <t>May/June</t>
  </si>
  <si>
    <t>Custom aerial</t>
  </si>
  <si>
    <t>Spray weeds</t>
  </si>
  <si>
    <t>36' Cultiweeder &amp; 480HP Tractor</t>
  </si>
  <si>
    <t>Custom aerial, pod sealant</t>
  </si>
  <si>
    <t>Is purpose to cut off weeds (sweep) or stir up soils to germinate weed seed then spray (harrow or disk?)</t>
  </si>
  <si>
    <t>HRWW: 73bu
SWWW: 78bu</t>
  </si>
  <si>
    <t>Fall or spring fertilize??</t>
  </si>
  <si>
    <t>5lb canola seed</t>
  </si>
  <si>
    <t>75lb N, 15lb P, 15lb S, 1lb Boron</t>
  </si>
  <si>
    <t>1 pt Spodnam</t>
  </si>
  <si>
    <t>1500lb</t>
  </si>
  <si>
    <t>35' Chisel &amp; 480HP Tractor</t>
  </si>
  <si>
    <t>Chisel/Sweep</t>
  </si>
  <si>
    <t>OR 50' Heavy Harrow</t>
  </si>
  <si>
    <t>Axial… Star, TBC, XL?</t>
  </si>
  <si>
    <t>35' Chisel &amp; 480HP tractor</t>
  </si>
  <si>
    <t>90' Self-propelled sprayer</t>
  </si>
  <si>
    <t>200HP Tractor + Bankout wagon</t>
  </si>
  <si>
    <t>480HP Tractor + 36' Cultiweeder</t>
  </si>
  <si>
    <t>Yield: 1500lb</t>
  </si>
  <si>
    <t>http://www.cdms.net/LDat/ld279006.pdf</t>
  </si>
  <si>
    <t>pg 13</t>
  </si>
  <si>
    <t>Plant</t>
  </si>
  <si>
    <t>HRWW: 80lb
SWWW: 80lb</t>
  </si>
  <si>
    <t>Widematch</t>
  </si>
  <si>
    <t>Banvel</t>
  </si>
  <si>
    <t>Finesse</t>
  </si>
  <si>
    <t>Bankout wagon &amp; 200HP tractor</t>
  </si>
  <si>
    <t>3500 acres</t>
  </si>
  <si>
    <t>2300 in crop</t>
  </si>
  <si>
    <t xml:space="preserve">Cereal </t>
  </si>
  <si>
    <t>Oilseed</t>
  </si>
  <si>
    <t>1150 ww</t>
  </si>
  <si>
    <t>1150 sc</t>
  </si>
  <si>
    <t>1150 sw</t>
  </si>
  <si>
    <t>bu:</t>
  </si>
  <si>
    <t>truck loads 520bu</t>
  </si>
  <si>
    <t>wheat</t>
  </si>
  <si>
    <t>canola</t>
  </si>
  <si>
    <t>truck vol</t>
  </si>
  <si>
    <t>load weight lbs</t>
  </si>
  <si>
    <t>round trip dist</t>
  </si>
  <si>
    <t>10-20 mile roundtrip to elevator or storage</t>
  </si>
  <si>
    <t>per truck, annual miles</t>
  </si>
  <si>
    <t>Tandem axle truck volume/weight per crop load</t>
  </si>
  <si>
    <t>Combine &amp; 30' header @ 2mph</t>
  </si>
  <si>
    <t>Combine &amp; 30' header @ 4mph</t>
  </si>
  <si>
    <t>Cultiweed &amp; Fertilize</t>
  </si>
  <si>
    <t>36' Cultiweeder &amp; tankcart &amp; 480HP Tractor</t>
  </si>
  <si>
    <t>(Soft White Spring Wheat or Dark Northern Spring Wheat or Spring Barley)</t>
  </si>
  <si>
    <t>SWSW: 80lb seed
DNS: 80lb seed
Barley: 70lb seed</t>
  </si>
  <si>
    <t>Combine &amp; 30' header @ 4 mph</t>
  </si>
  <si>
    <t>SWSW: 50 bu
DNS: 45 bu
Barley: 1.5 tons</t>
  </si>
  <si>
    <t xml:space="preserve">
HRWW: 77lb N, 17lb P, 10lb S
SWWW: 70lb N, 15lb P, 10lb S</t>
  </si>
  <si>
    <t xml:space="preserve">Spray weeds &amp; rust </t>
  </si>
  <si>
    <t>October/March</t>
  </si>
  <si>
    <t>Cultiweed &amp; fertilize</t>
  </si>
  <si>
    <t>SWSW: 45lb N, 10lb P, 1lb S
DNS: 55lb N, 11lb P, 1lb S
Barley: 45lb N, 10lb P, 1lb S</t>
  </si>
  <si>
    <t>SWSW: 16.4 oz Axial XL, 17 oz Orion, 1 pt Brox 2EC, 4 oz Tilt
DNS: 16.4 oz Axial XL, 17 oz Orion, 1 pt Brox 2EC, 4 oz Tilt
Barley: 16.4 oz Axial XL, 17 oz Orion, 1 pt Brox 2EC</t>
  </si>
  <si>
    <r>
      <t xml:space="preserve">Oilseed Rotation:    </t>
    </r>
    <r>
      <rPr>
        <sz val="10"/>
        <color theme="1"/>
        <rFont val="Arial"/>
        <family val="2"/>
      </rPr>
      <t>Fallow--Winter Wheat--Spring Canola</t>
    </r>
  </si>
  <si>
    <r>
      <t xml:space="preserve">Cereal Rotation:    </t>
    </r>
    <r>
      <rPr>
        <sz val="10"/>
        <rFont val="Arial"/>
        <family val="2"/>
      </rPr>
      <t>Fallow--Winter Wheat--Spring Barley/Spring Wheat</t>
    </r>
  </si>
  <si>
    <t>48' rodweeder</t>
  </si>
  <si>
    <t>30' combine @ 3 mph</t>
  </si>
  <si>
    <t>300HP Tractor &amp; 48' rodweeder</t>
  </si>
  <si>
    <r>
      <t xml:space="preserve">Combine &amp; 30' header </t>
    </r>
    <r>
      <rPr>
        <b/>
        <sz val="10"/>
        <rFont val="Arial"/>
        <family val="2"/>
      </rPr>
      <t xml:space="preserve"> *4 mph harvest speed*</t>
    </r>
  </si>
  <si>
    <r>
      <t>Combine &amp; 30' header *</t>
    </r>
    <r>
      <rPr>
        <b/>
        <sz val="10"/>
        <rFont val="Arial"/>
        <family val="2"/>
      </rPr>
      <t>3 mph harvest speed*</t>
    </r>
  </si>
  <si>
    <t>Machinery costs per acre for specific operations can be modified in Table 4 and they will update throughout the budgets.</t>
  </si>
  <si>
    <r>
      <t xml:space="preserve">Add or remove operations for a particular crop or fallow cycle by changing the 'Number of Passes' in </t>
    </r>
    <r>
      <rPr>
        <b/>
        <sz val="11"/>
        <color rgb="FFFF0000"/>
        <rFont val="Arial"/>
        <family val="2"/>
      </rPr>
      <t>red</t>
    </r>
    <r>
      <rPr>
        <sz val="11"/>
        <color rgb="FFFF0000"/>
        <rFont val="Arial"/>
        <family val="2"/>
      </rPr>
      <t xml:space="preserve"> </t>
    </r>
    <r>
      <rPr>
        <b/>
        <sz val="11"/>
        <color rgb="FFFF0000"/>
        <rFont val="Arial"/>
        <family val="2"/>
      </rPr>
      <t>text</t>
    </r>
    <r>
      <rPr>
        <sz val="11"/>
        <rFont val="Arial"/>
        <family val="2"/>
      </rPr>
      <t xml:space="preserve"> in Tables 5-16 (scroll down).</t>
    </r>
  </si>
  <si>
    <r>
      <t xml:space="preserve">Table 5. Annual Machinery Costs ($/acre) for </t>
    </r>
    <r>
      <rPr>
        <b/>
        <u/>
        <sz val="12"/>
        <rFont val="Arial"/>
        <family val="2"/>
      </rPr>
      <t>Fallow</t>
    </r>
    <r>
      <rPr>
        <b/>
        <sz val="12"/>
        <rFont val="Arial"/>
        <family val="2"/>
      </rPr>
      <t xml:space="preserve"> after Spring Canola, before Soft White Winter Wheat</t>
    </r>
  </si>
  <si>
    <r>
      <t xml:space="preserve">Table 7. Machinery Costs ($/acre) for </t>
    </r>
    <r>
      <rPr>
        <b/>
        <u/>
        <sz val="12"/>
        <rFont val="Arial"/>
        <family val="2"/>
      </rPr>
      <t>Fallow</t>
    </r>
    <r>
      <rPr>
        <b/>
        <sz val="12"/>
        <rFont val="Arial"/>
        <family val="2"/>
      </rPr>
      <t xml:space="preserve"> after Spring Canola, before Hard Red Winter Wheat</t>
    </r>
  </si>
  <si>
    <r>
      <t xml:space="preserve">Table 10. Machinery Costs ($/acre) for </t>
    </r>
    <r>
      <rPr>
        <b/>
        <u/>
        <sz val="12"/>
        <rFont val="Arial"/>
        <family val="2"/>
      </rPr>
      <t>Fallow</t>
    </r>
    <r>
      <rPr>
        <b/>
        <sz val="12"/>
        <rFont val="Arial"/>
        <family val="2"/>
      </rPr>
      <t xml:space="preserve"> after Spring Cereal, before Soft White Winter Wheat</t>
    </r>
  </si>
  <si>
    <r>
      <t xml:space="preserve">Table 12. Machinery Costs ($/acre) for </t>
    </r>
    <r>
      <rPr>
        <b/>
        <u/>
        <sz val="12"/>
        <rFont val="Arial"/>
        <family val="2"/>
      </rPr>
      <t>Fallow</t>
    </r>
    <r>
      <rPr>
        <b/>
        <sz val="12"/>
        <rFont val="Arial"/>
        <family val="2"/>
      </rPr>
      <t xml:space="preserve"> after Spring Cereal, before Hard Red Winter Wheat</t>
    </r>
  </si>
  <si>
    <t>Return to budget</t>
  </si>
  <si>
    <t>300HP Tractor &amp; 34' tandem disk</t>
  </si>
  <si>
    <t>480HP Tractor + 35' Chisel plow*</t>
  </si>
  <si>
    <t>3 to 4</t>
  </si>
  <si>
    <t>48' harrow</t>
  </si>
  <si>
    <t>30' combine @ 4mph</t>
  </si>
  <si>
    <t>self-propelled sprayer</t>
  </si>
  <si>
    <t>Self-propelled sprayer</t>
  </si>
  <si>
    <t>36' cultiweeder</t>
  </si>
  <si>
    <t>300HP Tractor &amp; 36' cultiweeder</t>
  </si>
  <si>
    <t>Phosphorus</t>
  </si>
  <si>
    <t>MCPA ester</t>
  </si>
  <si>
    <t>MCPA amine</t>
  </si>
  <si>
    <t>Canola Seed</t>
  </si>
  <si>
    <t xml:space="preserve">Nitrogen </t>
  </si>
  <si>
    <t>Wheat seed</t>
  </si>
  <si>
    <t xml:space="preserve">Barley </t>
  </si>
  <si>
    <t>Orion</t>
  </si>
  <si>
    <t>Brox EC</t>
  </si>
  <si>
    <t>Brox 2EC</t>
  </si>
  <si>
    <t>Harmony GT</t>
  </si>
  <si>
    <t>Rate per (60lb) bu, per month:</t>
  </si>
  <si>
    <t>Barley seed</t>
  </si>
  <si>
    <t>Load volume (48lb bu):</t>
  </si>
  <si>
    <t>Rate per (48lb) bu, per month:</t>
  </si>
  <si>
    <t>Net Returns over Total Costs (Returns to Risk)</t>
  </si>
  <si>
    <t>2,4-D ester</t>
  </si>
  <si>
    <t>2,4-D amine</t>
  </si>
  <si>
    <t>Barley storage</t>
  </si>
  <si>
    <t>per 48lb bu, per mo.</t>
  </si>
  <si>
    <t>5 and 6</t>
  </si>
  <si>
    <t>5 and 8</t>
  </si>
  <si>
    <t>5 and 7</t>
  </si>
  <si>
    <t>2 and 3</t>
  </si>
  <si>
    <t>4 and 6</t>
  </si>
  <si>
    <t>4 and 8</t>
  </si>
  <si>
    <t>4 and 7</t>
  </si>
  <si>
    <t>1 and 3</t>
  </si>
  <si>
    <t>Fertilizer Applicator</t>
  </si>
  <si>
    <t>You can customize inputs on the crop budget sheets (tabs numbered 4-8).</t>
  </si>
  <si>
    <t>Go to machinery operations</t>
  </si>
  <si>
    <t>Cost $/Acre</t>
  </si>
  <si>
    <t>Return to top</t>
  </si>
  <si>
    <t>Acres/hr</t>
  </si>
  <si>
    <t>480HP Tractor + 48' Spring tooth harrow</t>
  </si>
  <si>
    <t>300HP Tractor &amp; 48' spring tooth harrow</t>
  </si>
  <si>
    <t>9.8 to 13</t>
  </si>
  <si>
    <t>Fallow</t>
  </si>
  <si>
    <t>SC</t>
  </si>
  <si>
    <t>Sp W or B</t>
  </si>
  <si>
    <t>WW</t>
  </si>
  <si>
    <t>Number of passes on:</t>
  </si>
  <si>
    <t>3500, 1/3 in each crop/fallow</t>
  </si>
  <si>
    <t>total acres covered annually</t>
  </si>
  <si>
    <t># passes over 1,166 acre unit, adj.</t>
  </si>
  <si>
    <t>480HP tractor</t>
  </si>
  <si>
    <t>200HP tractor</t>
  </si>
  <si>
    <t>approx bc won't use all implements fully, just select ones depending on needs</t>
  </si>
  <si>
    <t>approx annual hours</t>
  </si>
  <si>
    <r>
      <t>3</t>
    </r>
    <r>
      <rPr>
        <sz val="10"/>
        <rFont val="Arial"/>
        <family val="2"/>
      </rPr>
      <t>Storage rates based on regional elevator rates. Transportation cost based on hired rates for tractor+40' grain trailer, 100 mile roundtrip. Short distance (10-20 miles roundtrip) transportation to local elevator is included in machinery costs for the tandem axle trucks.</t>
    </r>
  </si>
  <si>
    <t>Preceding fallow year costs*</t>
  </si>
  <si>
    <t xml:space="preserve">*Fallow costs are included as a fixed cost in the following winter wheat crop. Fallow costs are listed here for informational purposes only. </t>
  </si>
  <si>
    <t>48' Rodweeder &amp; 480HP Tractor</t>
  </si>
  <si>
    <t>480HP Tractor + 48' Rodweeder</t>
  </si>
  <si>
    <t>Pursuit</t>
  </si>
  <si>
    <t>http://css.wsu.edu/biofuels/</t>
  </si>
  <si>
    <t>Jenny R. Connolly, MS</t>
  </si>
  <si>
    <t>Vicki McCracken, PhD</t>
  </si>
  <si>
    <t>Kathleen Painter, PhD</t>
  </si>
  <si>
    <t>Associate Director and Professor</t>
  </si>
  <si>
    <t>Farm and Ranch Economist</t>
  </si>
  <si>
    <t>School of Economic Sciences</t>
  </si>
  <si>
    <t>Washington State University</t>
  </si>
  <si>
    <t>University of Idaho</t>
  </si>
  <si>
    <t>(509) 528-8554</t>
  </si>
  <si>
    <t>(509) 335-4728</t>
  </si>
  <si>
    <t>(208) 885-6041</t>
  </si>
  <si>
    <t>jringwood@wsu.edu</t>
  </si>
  <si>
    <t>mccracke@wsu.edu</t>
  </si>
  <si>
    <t>kpainter@uidaho.edu</t>
  </si>
  <si>
    <t>Research Associate (former)</t>
  </si>
  <si>
    <t>Agricultural Economics</t>
  </si>
  <si>
    <t xml:space="preserve">   &amp; Rural Sociology</t>
  </si>
  <si>
    <t>Spring Canola - Roundup Ready</t>
  </si>
  <si>
    <t>Year 1: Schedule of Operations for Fallow (Rotation: after SC, before WW)</t>
  </si>
  <si>
    <t>Year 2: Schedule of Operations for Winter Wheat</t>
  </si>
  <si>
    <t>Year 3: Schedule of Operations for Spring Canola</t>
  </si>
  <si>
    <t>Year 1: Schedule of Operations for Fallow (Rotation: after spring cereal, before WW)</t>
  </si>
  <si>
    <t>Year 3: Schedule of Operations for Spring Wheat or Spring Barley</t>
  </si>
  <si>
    <t>Canola Rotation: Soft White Winter Wheat</t>
  </si>
  <si>
    <t>Canola Rotation: Hard Red Winter Wheat</t>
  </si>
  <si>
    <t>Canola Rotation: Spring Canola</t>
  </si>
  <si>
    <t>Wheat Rotation: Soft White Winter Wheat</t>
  </si>
  <si>
    <t>Wheat Rotation: Hard Red Winter Wheat</t>
  </si>
  <si>
    <t>Wheat Rotation: Soft White Spring Wheat</t>
  </si>
  <si>
    <t>Wheat Rotation: Dark Northern Spring Wheat</t>
  </si>
  <si>
    <t>Wheat Rotation: Spring Barley</t>
  </si>
  <si>
    <t>Table 3. Machinery Complement for 12-16" Intermediate Rainfall Region in Washington State</t>
  </si>
  <si>
    <t>These values were entered into the Univeristy of Idaho's Crop Machinery Cost Calculator to estimate cost per acre for common operations. Output from the calculator is on the next tab, Machinery Costs. Machinery values, depreciation, repairs, etc. cannot be directly adjusted in this workbook at this time. However, the estimated cost per acre can be adjusted on the Machinery Costs tab. 
Machinery cost files are available upon request.</t>
  </si>
  <si>
    <t>Note: A “machinery complement” is a set of common machinery and implements that would be sufficient for performing standard operations in crop production on a farm in a given region. In these budgets, farm size is assumed to be 3500 acres for the purposes of machinery cost calculations.</t>
  </si>
  <si>
    <t>canola rotation</t>
  </si>
  <si>
    <t>wheat rotation</t>
  </si>
  <si>
    <t>Canola Rotation:</t>
  </si>
  <si>
    <r>
      <t xml:space="preserve"> F - </t>
    </r>
    <r>
      <rPr>
        <b/>
        <sz val="11"/>
        <color rgb="FF00B050"/>
        <rFont val="Arial"/>
        <family val="2"/>
      </rPr>
      <t>SWWW</t>
    </r>
    <r>
      <rPr>
        <b/>
        <sz val="11"/>
        <rFont val="Arial"/>
        <family val="2"/>
      </rPr>
      <t xml:space="preserve"> - SC</t>
    </r>
  </si>
  <si>
    <t>Canola Rotation</t>
  </si>
  <si>
    <r>
      <rPr>
        <b/>
        <sz val="11"/>
        <color rgb="FF00B050"/>
        <rFont val="Arial"/>
        <family val="2"/>
      </rPr>
      <t>F</t>
    </r>
    <r>
      <rPr>
        <b/>
        <sz val="11"/>
        <rFont val="Arial"/>
        <family val="2"/>
      </rPr>
      <t xml:space="preserve"> - HRWW - SC</t>
    </r>
  </si>
  <si>
    <r>
      <t xml:space="preserve">F - </t>
    </r>
    <r>
      <rPr>
        <b/>
        <sz val="11"/>
        <color rgb="FF00B050"/>
        <rFont val="Arial"/>
        <family val="2"/>
      </rPr>
      <t>HRWW</t>
    </r>
    <r>
      <rPr>
        <b/>
        <sz val="11"/>
        <rFont val="Arial"/>
        <family val="2"/>
      </rPr>
      <t xml:space="preserve"> - SC</t>
    </r>
  </si>
  <si>
    <r>
      <t xml:space="preserve">F - HRWW - </t>
    </r>
    <r>
      <rPr>
        <b/>
        <sz val="11"/>
        <color rgb="FF00B050"/>
        <rFont val="Arial"/>
        <family val="2"/>
      </rPr>
      <t>SC</t>
    </r>
  </si>
  <si>
    <r>
      <rPr>
        <b/>
        <sz val="11"/>
        <color rgb="FF00B050"/>
        <rFont val="Arial"/>
        <family val="2"/>
      </rPr>
      <t>F</t>
    </r>
    <r>
      <rPr>
        <b/>
        <sz val="11"/>
        <rFont val="Arial"/>
        <family val="2"/>
      </rPr>
      <t xml:space="preserve"> - SWWW -SWSW/DNS/SB</t>
    </r>
  </si>
  <si>
    <t>Wheat Rotation:</t>
  </si>
  <si>
    <r>
      <t>F - HRWW -SWSW/DNS/</t>
    </r>
    <r>
      <rPr>
        <b/>
        <sz val="11"/>
        <color rgb="FF00B050"/>
        <rFont val="Arial"/>
        <family val="2"/>
      </rPr>
      <t>SB</t>
    </r>
  </si>
  <si>
    <r>
      <t>F - HRWW -SWSW/</t>
    </r>
    <r>
      <rPr>
        <b/>
        <sz val="11"/>
        <color rgb="FF00B050"/>
        <rFont val="Arial"/>
        <family val="2"/>
      </rPr>
      <t>DNS</t>
    </r>
    <r>
      <rPr>
        <b/>
        <sz val="11"/>
        <rFont val="Arial"/>
        <family val="2"/>
      </rPr>
      <t>/SB</t>
    </r>
  </si>
  <si>
    <r>
      <t>F - HRWW -</t>
    </r>
    <r>
      <rPr>
        <b/>
        <sz val="11"/>
        <color rgb="FF00B050"/>
        <rFont val="Arial"/>
        <family val="2"/>
      </rPr>
      <t>SWSW</t>
    </r>
    <r>
      <rPr>
        <b/>
        <sz val="11"/>
        <rFont val="Arial"/>
        <family val="2"/>
      </rPr>
      <t>/DNS/SB</t>
    </r>
  </si>
  <si>
    <r>
      <t xml:space="preserve">F - </t>
    </r>
    <r>
      <rPr>
        <b/>
        <sz val="11"/>
        <color rgb="FF00B050"/>
        <rFont val="Arial"/>
        <family val="2"/>
      </rPr>
      <t>HRWW</t>
    </r>
    <r>
      <rPr>
        <b/>
        <sz val="11"/>
        <rFont val="Arial"/>
        <family val="2"/>
      </rPr>
      <t xml:space="preserve"> -SWSW/DNS/SB</t>
    </r>
  </si>
  <si>
    <r>
      <rPr>
        <b/>
        <sz val="11"/>
        <color rgb="FF00B050"/>
        <rFont val="Arial"/>
        <family val="2"/>
      </rPr>
      <t>F</t>
    </r>
    <r>
      <rPr>
        <b/>
        <sz val="11"/>
        <rFont val="Arial"/>
        <family val="2"/>
      </rPr>
      <t xml:space="preserve"> - HRWW - SWSW/DNS/SB</t>
    </r>
  </si>
  <si>
    <r>
      <t xml:space="preserve">F - </t>
    </r>
    <r>
      <rPr>
        <b/>
        <sz val="11"/>
        <color rgb="FF00B050"/>
        <rFont val="Arial"/>
        <family val="2"/>
      </rPr>
      <t>SWWW</t>
    </r>
    <r>
      <rPr>
        <b/>
        <sz val="11"/>
        <rFont val="Arial"/>
        <family val="2"/>
      </rPr>
      <t xml:space="preserve"> -SWSW/DNS/SB</t>
    </r>
  </si>
  <si>
    <t>Wheat Rotation</t>
  </si>
  <si>
    <t>Budget:</t>
  </si>
  <si>
    <t>Diesel, offroad, bulk</t>
  </si>
  <si>
    <t>Gas</t>
  </si>
  <si>
    <t>Click on table link to see machinery costs by crop/fallow year.</t>
  </si>
  <si>
    <t>Calendars for Wheat Rotation: F - HRWW/SWWW - SWSW/DNS/Barley</t>
  </si>
  <si>
    <t>Calendars for Canola Rotation: F - HRWW/SWWW - SC</t>
  </si>
  <si>
    <t>Soft White Wheat</t>
  </si>
  <si>
    <t>Hard Red Wheat</t>
  </si>
  <si>
    <t>These budgets were constructed for the Washington Oilseed Cropping Systems (WOCS) project,</t>
  </si>
  <si>
    <t>part of the Washington state biofuels initiative.</t>
  </si>
  <si>
    <t>Owner</t>
  </si>
  <si>
    <t xml:space="preserve">Operator </t>
  </si>
  <si>
    <t>Fallow cost plus interest</t>
  </si>
  <si>
    <r>
      <t>6</t>
    </r>
    <r>
      <rPr>
        <sz val="10"/>
        <rFont val="Arial"/>
        <family val="2"/>
      </rPr>
      <t>The management fee is calculated as a 5% of gross revenue, rounded to the nearest dollar.</t>
    </r>
  </si>
  <si>
    <t>Long-haul transportation</t>
  </si>
  <si>
    <t>Storage rate, share stored:</t>
  </si>
  <si>
    <t>Transportation distance and volume:</t>
  </si>
  <si>
    <t>Land cost</t>
  </si>
  <si>
    <t>Share Percentage</t>
  </si>
  <si>
    <r>
      <t>2</t>
    </r>
    <r>
      <rPr>
        <sz val="10"/>
        <rFont val="Arial"/>
        <family val="2"/>
      </rPr>
      <t>Covers legal, accounting, and utility fees. Calculated as 2.5% of operating expenses, rounded to the nearest dollar.</t>
    </r>
  </si>
  <si>
    <r>
      <t>5</t>
    </r>
    <r>
      <rPr>
        <sz val="10"/>
        <rFont val="Arial"/>
        <family val="2"/>
      </rPr>
      <t>Covers legal, accounting, and utility fees. Calculated as 2.5% of operating expenses, rounded to the nearest dollar.</t>
    </r>
  </si>
  <si>
    <r>
      <t>5</t>
    </r>
    <r>
      <rPr>
        <sz val="10"/>
        <rFont val="Arial"/>
        <family val="2"/>
      </rPr>
      <t xml:space="preserve">Covers legal, accounting, and utility fees. Calculated as 2.5% of operating expenses, rounded to the nearest dollar. </t>
    </r>
  </si>
  <si>
    <t>Land cost based on crop share percentage:</t>
  </si>
  <si>
    <r>
      <t>1</t>
    </r>
    <r>
      <rPr>
        <sz val="10"/>
        <rFont val="Arial"/>
        <family val="2"/>
      </rPr>
      <t>Calculated as 5.75% interest on operating capital for 9 months.</t>
    </r>
  </si>
  <si>
    <r>
      <t>4</t>
    </r>
    <r>
      <rPr>
        <sz val="10"/>
        <rFont val="Arial"/>
        <family val="2"/>
      </rPr>
      <t>Calculated as 5.75% interest on operating capital for 9 months.</t>
    </r>
  </si>
  <si>
    <t>Cost Per Unit</t>
  </si>
  <si>
    <t>Variable Cost</t>
  </si>
  <si>
    <t>Fixed Cost</t>
  </si>
  <si>
    <t>Total Cost</t>
  </si>
  <si>
    <t>Cost Summary</t>
  </si>
  <si>
    <t>480HP Tractor + 35' Chisel plow</t>
  </si>
  <si>
    <t>Axiom</t>
  </si>
  <si>
    <t>Methylated seed oil</t>
  </si>
  <si>
    <t>10 oz Axiom</t>
  </si>
  <si>
    <t>Pre-plant weed control</t>
  </si>
  <si>
    <t>Ammonium Sulfate</t>
  </si>
  <si>
    <t>Ammonium Sulfate (liquid)</t>
  </si>
  <si>
    <t>Ammonium sulfate</t>
  </si>
  <si>
    <t>Non-ionic surfactant</t>
  </si>
  <si>
    <t>4.75 oz Osprey, 6.4 oz non-ionic surfactant, 1.5 lbs ammonium sulfate, 13.5 oz Huskie, 1 pt  MCPA ester, 4 oz Tilt</t>
  </si>
  <si>
    <t>24 oz RoundUp, 4 oz Banvel, 1.7 lb ammonium sulfate</t>
  </si>
  <si>
    <t>24 oz RoundUp, 1.7 lb ammonium sulfate</t>
  </si>
  <si>
    <t>Materials/Service (per acre)</t>
  </si>
  <si>
    <t>Non-ionic Surfactant</t>
  </si>
  <si>
    <t>Enterprise Budgets: 3-Year Wheat and Canola Rotations 
in Eastern Washington Intermediate Rainfall Regions (12" to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</si>
</sst>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0.0000"/>
    <numFmt numFmtId="169" formatCode="&quot;$&quot;#,##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i/>
      <sz val="10"/>
      <name val="Arial"/>
      <family val="2"/>
    </font>
    <font>
      <b/>
      <i/>
      <sz val="10"/>
      <name val="Arial"/>
      <family val="2"/>
    </font>
    <font>
      <vertAlign val="superscript"/>
      <sz val="10"/>
      <name val="Arial"/>
      <family val="2"/>
    </font>
    <font>
      <sz val="10"/>
      <name val="Arial"/>
      <family val="2"/>
    </font>
    <font>
      <b/>
      <sz val="11"/>
      <name val="Arial"/>
      <family val="2"/>
    </font>
    <font>
      <u/>
      <sz val="11"/>
      <color indexed="12"/>
      <name val="Arial"/>
      <family val="2"/>
    </font>
    <font>
      <i/>
      <sz val="11"/>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b/>
      <sz val="12"/>
      <color theme="1"/>
      <name val="Arial"/>
      <family val="2"/>
    </font>
    <font>
      <sz val="10"/>
      <color rgb="FFFF3300"/>
      <name val="Arial"/>
      <family val="2"/>
    </font>
    <font>
      <b/>
      <sz val="10"/>
      <color rgb="FF7030A0"/>
      <name val="Arial"/>
      <family val="2"/>
    </font>
    <font>
      <sz val="10"/>
      <name val="Arial"/>
      <family val="2"/>
    </font>
    <font>
      <b/>
      <i/>
      <sz val="9"/>
      <name val="Arial"/>
      <family val="2"/>
    </font>
    <font>
      <b/>
      <i/>
      <sz val="11"/>
      <name val="Arial"/>
      <family val="2"/>
    </font>
    <font>
      <b/>
      <sz val="10"/>
      <color theme="3" tint="0.39997558519241921"/>
      <name val="Arial"/>
      <family val="2"/>
    </font>
    <font>
      <b/>
      <sz val="11"/>
      <name val="Calibri"/>
      <family val="2"/>
      <scheme val="minor"/>
    </font>
    <font>
      <sz val="11"/>
      <name val="Calibri"/>
      <family val="2"/>
      <scheme val="minor"/>
    </font>
    <font>
      <sz val="12"/>
      <color theme="1"/>
      <name val="Arial"/>
      <family val="2"/>
    </font>
    <font>
      <b/>
      <u/>
      <sz val="12"/>
      <name val="Arial"/>
      <family val="2"/>
    </font>
    <font>
      <b/>
      <sz val="10"/>
      <color rgb="FFFF0000"/>
      <name val="Arial"/>
      <family val="2"/>
    </font>
    <font>
      <sz val="11"/>
      <color rgb="FFFF0000"/>
      <name val="Arial"/>
      <family val="2"/>
    </font>
    <font>
      <b/>
      <vertAlign val="superscript"/>
      <sz val="10"/>
      <name val="Arial"/>
      <family val="2"/>
    </font>
    <font>
      <sz val="10"/>
      <color theme="1"/>
      <name val="Arial"/>
      <family val="2"/>
    </font>
    <font>
      <b/>
      <sz val="11"/>
      <color rgb="FFFF0000"/>
      <name val="Arial"/>
      <family val="2"/>
    </font>
    <font>
      <b/>
      <sz val="10"/>
      <color theme="1"/>
      <name val="Arial"/>
      <family val="2"/>
    </font>
    <font>
      <sz val="10"/>
      <color rgb="FF0000FF"/>
      <name val="Arial"/>
      <family val="2"/>
    </font>
    <font>
      <b/>
      <sz val="10"/>
      <color rgb="FF008000"/>
      <name val="Arial"/>
      <family val="2"/>
    </font>
    <font>
      <b/>
      <u/>
      <sz val="10"/>
      <color indexed="12"/>
      <name val="Arial"/>
      <family val="2"/>
    </font>
    <font>
      <b/>
      <i/>
      <sz val="10"/>
      <color theme="1"/>
      <name val="Arial"/>
      <family val="2"/>
    </font>
    <font>
      <sz val="10"/>
      <color indexed="10"/>
      <name val="Arial"/>
      <family val="2"/>
    </font>
    <font>
      <b/>
      <u/>
      <sz val="11"/>
      <name val="Arial"/>
      <family val="2"/>
    </font>
    <font>
      <sz val="10"/>
      <color rgb="FFFF0000"/>
      <name val="Arial"/>
      <family val="2"/>
    </font>
    <font>
      <b/>
      <sz val="11"/>
      <color rgb="FF00B050"/>
      <name val="Arial"/>
      <family val="2"/>
    </font>
    <font>
      <sz val="10"/>
      <color rgb="FF008000"/>
      <name val="Arial"/>
      <family val="2"/>
    </font>
    <font>
      <b/>
      <sz val="12"/>
      <color rgb="FFFF0000"/>
      <name val="Arial"/>
      <family val="2"/>
    </font>
    <font>
      <sz val="12"/>
      <color rgb="FFFF0000"/>
      <name val="Arial"/>
      <family val="2"/>
    </font>
    <font>
      <sz val="10"/>
      <color theme="0" tint="-0.249977111117893"/>
      <name val="Arial"/>
      <family val="2"/>
    </font>
    <font>
      <i/>
      <sz val="10"/>
      <color theme="0" tint="-0.499984740745262"/>
      <name val="Arial"/>
      <family val="2"/>
    </font>
    <font>
      <sz val="10"/>
      <color theme="0" tint="-0.499984740745262"/>
      <name val="Arial"/>
      <family val="2"/>
    </font>
    <font>
      <b/>
      <sz val="10"/>
      <color theme="0" tint="-0.499984740745262"/>
      <name val="Arial"/>
      <family val="2"/>
    </font>
    <font>
      <b/>
      <sz val="14"/>
      <name val="Arial"/>
      <family val="2"/>
    </font>
    <font>
      <sz val="10"/>
      <color rgb="FFC00000"/>
      <name val="Arial"/>
      <family val="2"/>
    </font>
    <font>
      <sz val="11"/>
      <name val="Calibri"/>
      <family val="2"/>
    </font>
    <font>
      <b/>
      <u/>
      <sz val="14"/>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26"/>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CCFFFF"/>
        <bgColor indexed="64"/>
      </patternFill>
    </fill>
    <fill>
      <patternFill patternType="solid">
        <fgColor theme="6"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6" tint="0.39997558519241921"/>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theme="1"/>
      </top>
      <bottom/>
      <diagonal/>
    </border>
    <border>
      <left style="thin">
        <color indexed="64"/>
      </left>
      <right/>
      <top style="thin">
        <color theme="1"/>
      </top>
      <bottom/>
      <diagonal/>
    </border>
    <border>
      <left style="thin">
        <color indexed="64"/>
      </left>
      <right style="thin">
        <color indexed="64"/>
      </right>
      <top style="thin">
        <color theme="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7">
    <xf numFmtId="0" fontId="0" fillId="0" borderId="0"/>
    <xf numFmtId="0" fontId="11" fillId="0" borderId="0" applyNumberFormat="0" applyFill="0" applyBorder="0" applyAlignment="0" applyProtection="0">
      <alignment vertical="top"/>
      <protection locked="0"/>
    </xf>
    <xf numFmtId="0" fontId="5" fillId="0" borderId="0"/>
    <xf numFmtId="9" fontId="1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0" borderId="0"/>
    <xf numFmtId="43" fontId="3"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0" borderId="0"/>
    <xf numFmtId="43" fontId="2"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43" fontId="1" fillId="0" borderId="0" applyFont="0" applyFill="0" applyBorder="0" applyAlignment="0" applyProtection="0"/>
  </cellStyleXfs>
  <cellXfs count="732">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7"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7"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8"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10" fillId="4" borderId="0" xfId="0" applyFont="1" applyFill="1"/>
    <xf numFmtId="0" fontId="10" fillId="0" borderId="0" xfId="0" applyFont="1"/>
    <xf numFmtId="0" fontId="5" fillId="0" borderId="0" xfId="0" applyFont="1"/>
    <xf numFmtId="0" fontId="10" fillId="5" borderId="0" xfId="0" applyFont="1" applyFill="1" applyAlignment="1" applyProtection="1">
      <protection locked="0"/>
    </xf>
    <xf numFmtId="0" fontId="10" fillId="2" borderId="0" xfId="0" applyFont="1" applyFill="1"/>
    <xf numFmtId="0" fontId="10" fillId="2" borderId="0" xfId="0" applyFont="1" applyFill="1" applyAlignment="1">
      <alignment horizontal="center" vertical="center"/>
    </xf>
    <xf numFmtId="164" fontId="10" fillId="3" borderId="0" xfId="0" applyNumberFormat="1" applyFont="1" applyFill="1"/>
    <xf numFmtId="0" fontId="5" fillId="0" borderId="0" xfId="0" applyFont="1" applyProtection="1">
      <protection locked="0"/>
    </xf>
    <xf numFmtId="0" fontId="0" fillId="4" borderId="0" xfId="0" applyFill="1" applyBorder="1"/>
    <xf numFmtId="0" fontId="0" fillId="4" borderId="0" xfId="0" applyFill="1" applyBorder="1" applyAlignment="1">
      <alignment horizontal="center" vertical="center"/>
    </xf>
    <xf numFmtId="0" fontId="0" fillId="4"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10" fillId="2" borderId="1" xfId="0" applyFont="1" applyFill="1" applyBorder="1"/>
    <xf numFmtId="0" fontId="10" fillId="2" borderId="1" xfId="0" applyFont="1" applyFill="1" applyBorder="1" applyAlignment="1">
      <alignment horizontal="center"/>
    </xf>
    <xf numFmtId="0" fontId="10" fillId="2" borderId="1" xfId="0" applyFont="1" applyFill="1" applyBorder="1" applyAlignment="1">
      <alignment horizontal="center" vertical="center"/>
    </xf>
    <xf numFmtId="0" fontId="10" fillId="2" borderId="0" xfId="0" applyFont="1" applyFill="1" applyAlignment="1">
      <alignment horizontal="center"/>
    </xf>
    <xf numFmtId="0" fontId="13" fillId="2" borderId="0" xfId="0" applyFont="1" applyFill="1" applyAlignment="1">
      <alignment horizontal="center"/>
    </xf>
    <xf numFmtId="0" fontId="5" fillId="4" borderId="0" xfId="0" applyFont="1" applyFill="1"/>
    <xf numFmtId="0" fontId="5" fillId="2" borderId="0" xfId="0" applyFont="1" applyFill="1"/>
    <xf numFmtId="0" fontId="5" fillId="2" borderId="0" xfId="0" applyFont="1" applyFill="1" applyAlignment="1">
      <alignment horizontal="center" vertical="center"/>
    </xf>
    <xf numFmtId="0" fontId="0" fillId="2" borderId="0" xfId="0" applyFill="1" applyBorder="1" applyAlignment="1">
      <alignment horizontal="center"/>
    </xf>
    <xf numFmtId="16" fontId="0" fillId="2" borderId="0" xfId="0" applyNumberFormat="1" applyFill="1" applyAlignment="1">
      <alignment horizontal="center"/>
    </xf>
    <xf numFmtId="0" fontId="10" fillId="5" borderId="0" xfId="0" applyFont="1" applyFill="1" applyAlignment="1" applyProtection="1">
      <alignment horizontal="center"/>
      <protection locked="0"/>
    </xf>
    <xf numFmtId="0" fontId="5" fillId="2" borderId="0" xfId="0" applyFont="1" applyFill="1" applyAlignment="1">
      <alignment horizontal="center"/>
    </xf>
    <xf numFmtId="0" fontId="0" fillId="4" borderId="0" xfId="0" applyFill="1" applyBorder="1" applyAlignment="1">
      <alignment horizontal="center"/>
    </xf>
    <xf numFmtId="164" fontId="0" fillId="2" borderId="0" xfId="0" applyNumberFormat="1" applyFill="1" applyBorder="1" applyAlignment="1">
      <alignment horizontal="center"/>
    </xf>
    <xf numFmtId="164" fontId="0" fillId="0" borderId="0" xfId="0" applyNumberFormat="1" applyAlignment="1" applyProtection="1">
      <alignment horizontal="center"/>
    </xf>
    <xf numFmtId="0" fontId="14" fillId="4" borderId="0" xfId="0" applyFont="1" applyFill="1"/>
    <xf numFmtId="0" fontId="14" fillId="0" borderId="0" xfId="0" applyFont="1"/>
    <xf numFmtId="0" fontId="14" fillId="6" borderId="0" xfId="0" applyFont="1" applyFill="1"/>
    <xf numFmtId="0" fontId="6" fillId="4" borderId="0" xfId="0" applyFont="1" applyFill="1"/>
    <xf numFmtId="0" fontId="6"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10" fillId="3" borderId="1" xfId="0" applyNumberFormat="1" applyFont="1" applyFill="1" applyBorder="1"/>
    <xf numFmtId="0" fontId="5" fillId="2" borderId="5" xfId="0" applyFont="1" applyFill="1" applyBorder="1"/>
    <xf numFmtId="0" fontId="10" fillId="2" borderId="5" xfId="0" applyFont="1" applyFill="1" applyBorder="1" applyAlignment="1">
      <alignment horizontal="center"/>
    </xf>
    <xf numFmtId="0" fontId="5" fillId="2" borderId="6" xfId="0" applyFont="1" applyFill="1" applyBorder="1"/>
    <xf numFmtId="3" fontId="10" fillId="2" borderId="5" xfId="0" applyNumberFormat="1" applyFont="1" applyFill="1" applyBorder="1" applyAlignment="1">
      <alignment horizontal="center"/>
    </xf>
    <xf numFmtId="3" fontId="10" fillId="2" borderId="6" xfId="0" applyNumberFormat="1"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0" fontId="10" fillId="2" borderId="6" xfId="0" applyFont="1" applyFill="1" applyBorder="1" applyAlignment="1">
      <alignment horizontal="center"/>
    </xf>
    <xf numFmtId="0" fontId="10" fillId="2" borderId="7" xfId="0" applyFont="1" applyFill="1" applyBorder="1" applyAlignment="1">
      <alignment horizontal="center"/>
    </xf>
    <xf numFmtId="2" fontId="0" fillId="2" borderId="2" xfId="0" applyNumberFormat="1" applyFill="1" applyBorder="1" applyAlignment="1">
      <alignment horizontal="center"/>
    </xf>
    <xf numFmtId="0" fontId="14" fillId="4" borderId="1" xfId="0" applyFont="1" applyFill="1" applyBorder="1"/>
    <xf numFmtId="0" fontId="14" fillId="4" borderId="1" xfId="0" applyFont="1" applyFill="1" applyBorder="1" applyAlignment="1">
      <alignment horizontal="center"/>
    </xf>
    <xf numFmtId="0" fontId="14" fillId="4" borderId="1" xfId="0" applyFont="1" applyFill="1" applyBorder="1" applyAlignment="1">
      <alignment horizontal="center" vertical="center"/>
    </xf>
    <xf numFmtId="0" fontId="11" fillId="0" borderId="0" xfId="1" applyAlignment="1" applyProtection="1"/>
    <xf numFmtId="0" fontId="0" fillId="8" borderId="0" xfId="0" applyFill="1"/>
    <xf numFmtId="0" fontId="5" fillId="8" borderId="0" xfId="0" applyFont="1" applyFill="1"/>
    <xf numFmtId="0" fontId="0" fillId="8" borderId="0" xfId="0" applyFill="1" applyAlignment="1">
      <alignment horizontal="center"/>
    </xf>
    <xf numFmtId="0" fontId="6" fillId="8" borderId="0" xfId="0" applyFont="1" applyFill="1"/>
    <xf numFmtId="0" fontId="6" fillId="8" borderId="0" xfId="0" applyFont="1" applyFill="1" applyBorder="1"/>
    <xf numFmtId="0" fontId="6" fillId="2" borderId="0" xfId="0" applyFont="1" applyFill="1" applyBorder="1"/>
    <xf numFmtId="0" fontId="12" fillId="2" borderId="0" xfId="0" applyFont="1" applyFill="1" applyBorder="1" applyAlignment="1">
      <alignment horizontal="center"/>
    </xf>
    <xf numFmtId="1" fontId="12" fillId="2" borderId="0" xfId="0" applyNumberFormat="1" applyFont="1" applyFill="1" applyBorder="1" applyAlignment="1">
      <alignment horizontal="center"/>
    </xf>
    <xf numFmtId="166" fontId="12" fillId="2" borderId="0" xfId="0" applyNumberFormat="1" applyFont="1" applyFill="1" applyBorder="1" applyAlignment="1">
      <alignment horizontal="center"/>
    </xf>
    <xf numFmtId="0" fontId="12" fillId="5" borderId="0" xfId="0" applyFont="1" applyFill="1" applyBorder="1" applyAlignment="1">
      <alignment horizontal="center"/>
    </xf>
    <xf numFmtId="1" fontId="6" fillId="5" borderId="0" xfId="0" applyNumberFormat="1" applyFont="1" applyFill="1" applyBorder="1" applyAlignment="1">
      <alignment horizontal="left"/>
    </xf>
    <xf numFmtId="1" fontId="6" fillId="5" borderId="0" xfId="0" applyNumberFormat="1" applyFont="1" applyFill="1" applyBorder="1" applyAlignment="1">
      <alignment horizontal="center"/>
    </xf>
    <xf numFmtId="166" fontId="6" fillId="5" borderId="0" xfId="0" applyNumberFormat="1" applyFont="1" applyFill="1" applyBorder="1" applyAlignment="1">
      <alignment horizontal="center"/>
    </xf>
    <xf numFmtId="1" fontId="6" fillId="2" borderId="0" xfId="0" applyNumberFormat="1" applyFont="1" applyFill="1" applyBorder="1" applyAlignment="1">
      <alignment horizontal="left"/>
    </xf>
    <xf numFmtId="1" fontId="6" fillId="2" borderId="0" xfId="0" applyNumberFormat="1" applyFont="1" applyFill="1" applyBorder="1" applyAlignment="1">
      <alignment horizontal="center"/>
    </xf>
    <xf numFmtId="166" fontId="6" fillId="2" borderId="0" xfId="0" applyNumberFormat="1" applyFont="1" applyFill="1" applyBorder="1" applyAlignment="1">
      <alignment horizontal="center"/>
    </xf>
    <xf numFmtId="0" fontId="5" fillId="0" borderId="0" xfId="0" applyFont="1" applyAlignment="1" applyProtection="1">
      <alignment horizontal="center" vertical="center"/>
      <protection locked="0"/>
    </xf>
    <xf numFmtId="0" fontId="11" fillId="4" borderId="0" xfId="1" applyFill="1" applyAlignment="1" applyProtection="1"/>
    <xf numFmtId="164" fontId="10" fillId="3" borderId="0" xfId="0" applyNumberFormat="1" applyFont="1" applyFill="1" applyAlignment="1">
      <alignment horizontal="left"/>
    </xf>
    <xf numFmtId="164" fontId="10" fillId="3" borderId="0" xfId="0" applyNumberFormat="1" applyFont="1" applyFill="1" applyAlignment="1" applyProtection="1">
      <alignment horizontal="left"/>
    </xf>
    <xf numFmtId="0" fontId="14" fillId="8" borderId="0" xfId="0" applyFont="1" applyFill="1"/>
    <xf numFmtId="164" fontId="22" fillId="0" borderId="0" xfId="0" applyNumberFormat="1" applyFont="1" applyFill="1" applyAlignment="1" applyProtection="1">
      <alignment horizontal="center"/>
    </xf>
    <xf numFmtId="39" fontId="22" fillId="0" borderId="0" xfId="0" applyNumberFormat="1" applyFont="1" applyFill="1" applyAlignment="1" applyProtection="1">
      <alignment horizontal="center"/>
    </xf>
    <xf numFmtId="164" fontId="23" fillId="0" borderId="0" xfId="0" applyNumberFormat="1" applyFont="1" applyFill="1" applyAlignment="1" applyProtection="1">
      <alignment horizontal="center"/>
    </xf>
    <xf numFmtId="2" fontId="24" fillId="0" borderId="0" xfId="0" applyNumberFormat="1" applyFont="1" applyFill="1" applyAlignment="1">
      <alignment horizontal="center"/>
    </xf>
    <xf numFmtId="164" fontId="24" fillId="0" borderId="0" xfId="0" applyNumberFormat="1" applyFont="1" applyFill="1" applyAlignment="1">
      <alignment horizontal="center"/>
    </xf>
    <xf numFmtId="1" fontId="24" fillId="0" borderId="0" xfId="0" applyNumberFormat="1" applyFont="1" applyFill="1" applyAlignment="1">
      <alignment horizontal="center"/>
    </xf>
    <xf numFmtId="1" fontId="25" fillId="0" borderId="0" xfId="0" applyNumberFormat="1" applyFont="1" applyFill="1" applyBorder="1" applyAlignment="1" applyProtection="1">
      <alignment horizontal="center"/>
    </xf>
    <xf numFmtId="164" fontId="25" fillId="0" borderId="0" xfId="0" applyNumberFormat="1" applyFont="1" applyFill="1" applyBorder="1" applyAlignment="1" applyProtection="1">
      <alignment horizontal="center"/>
    </xf>
    <xf numFmtId="0" fontId="11" fillId="4" borderId="0" xfId="1" applyFill="1" applyBorder="1" applyAlignment="1" applyProtection="1"/>
    <xf numFmtId="0" fontId="24" fillId="8" borderId="0" xfId="0" applyFont="1" applyFill="1" applyBorder="1" applyAlignment="1"/>
    <xf numFmtId="0" fontId="27" fillId="8" borderId="0" xfId="0" applyFont="1" applyFill="1" applyBorder="1" applyAlignment="1"/>
    <xf numFmtId="164" fontId="23" fillId="8" borderId="0" xfId="0" applyNumberFormat="1" applyFont="1" applyFill="1" applyAlignment="1" applyProtection="1">
      <alignment horizontal="left"/>
    </xf>
    <xf numFmtId="0" fontId="0" fillId="8" borderId="0" xfId="0" applyFill="1" applyBorder="1"/>
    <xf numFmtId="0" fontId="10" fillId="8" borderId="0" xfId="0" applyFont="1" applyFill="1" applyBorder="1"/>
    <xf numFmtId="0" fontId="14" fillId="10" borderId="0" xfId="0" applyFont="1" applyFill="1"/>
    <xf numFmtId="0" fontId="14" fillId="10" borderId="0" xfId="0" applyFont="1" applyFill="1" applyAlignment="1">
      <alignment horizontal="center"/>
    </xf>
    <xf numFmtId="0" fontId="14" fillId="10" borderId="0" xfId="0" applyFont="1" applyFill="1" applyAlignment="1">
      <alignment horizontal="center" vertical="center"/>
    </xf>
    <xf numFmtId="0" fontId="14" fillId="10" borderId="0" xfId="0" applyFont="1" applyFill="1" applyBorder="1" applyAlignment="1">
      <alignment horizontal="center"/>
    </xf>
    <xf numFmtId="0" fontId="0" fillId="10" borderId="1" xfId="0" applyFill="1" applyBorder="1" applyAlignment="1">
      <alignment horizontal="center"/>
    </xf>
    <xf numFmtId="0" fontId="0" fillId="10" borderId="1" xfId="0" applyFill="1" applyBorder="1"/>
    <xf numFmtId="0" fontId="0" fillId="10" borderId="1" xfId="0" applyFill="1" applyBorder="1" applyAlignment="1">
      <alignment horizontal="center" vertical="center"/>
    </xf>
    <xf numFmtId="0" fontId="5" fillId="0" borderId="0" xfId="0" applyFont="1" applyFill="1"/>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164" fontId="0" fillId="0" borderId="0" xfId="0" applyNumberFormat="1" applyFill="1"/>
    <xf numFmtId="0" fontId="5" fillId="8" borderId="0" xfId="2" applyFill="1"/>
    <xf numFmtId="164" fontId="0" fillId="8" borderId="0" xfId="0" applyNumberFormat="1" applyFill="1"/>
    <xf numFmtId="0" fontId="5" fillId="2" borderId="7" xfId="0" applyFont="1" applyFill="1" applyBorder="1"/>
    <xf numFmtId="0" fontId="5" fillId="2" borderId="7" xfId="0" applyFont="1" applyFill="1" applyBorder="1" applyAlignment="1">
      <alignment horizontal="center"/>
    </xf>
    <xf numFmtId="167" fontId="5" fillId="2" borderId="7" xfId="4" applyNumberFormat="1" applyFont="1" applyFill="1" applyBorder="1" applyAlignment="1">
      <alignment horizontal="center"/>
    </xf>
    <xf numFmtId="167" fontId="5" fillId="2" borderId="5" xfId="4" applyNumberFormat="1" applyFont="1" applyFill="1" applyBorder="1" applyAlignment="1">
      <alignment horizontal="center"/>
    </xf>
    <xf numFmtId="167" fontId="10" fillId="2" borderId="5" xfId="4" applyNumberFormat="1" applyFont="1" applyFill="1" applyBorder="1" applyAlignment="1">
      <alignment horizontal="center"/>
    </xf>
    <xf numFmtId="167" fontId="10" fillId="2" borderId="6" xfId="4" applyNumberFormat="1" applyFont="1" applyFill="1" applyBorder="1" applyAlignment="1">
      <alignment horizontal="center"/>
    </xf>
    <xf numFmtId="167" fontId="10" fillId="7" borderId="2" xfId="4" applyNumberFormat="1" applyFont="1" applyFill="1" applyBorder="1" applyAlignment="1">
      <alignment horizontal="center"/>
    </xf>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16" fillId="7" borderId="10" xfId="0" applyFont="1" applyFill="1" applyBorder="1"/>
    <xf numFmtId="0" fontId="10" fillId="7" borderId="2" xfId="0" applyFont="1" applyFill="1" applyBorder="1" applyAlignment="1">
      <alignment horizontal="center"/>
    </xf>
    <xf numFmtId="0" fontId="10" fillId="7" borderId="2" xfId="0" applyFont="1" applyFill="1" applyBorder="1" applyAlignment="1">
      <alignment horizontal="right"/>
    </xf>
    <xf numFmtId="0" fontId="10" fillId="7" borderId="11" xfId="0" applyFont="1" applyFill="1" applyBorder="1" applyAlignment="1">
      <alignment horizontal="right"/>
    </xf>
    <xf numFmtId="0" fontId="5" fillId="7" borderId="9" xfId="2" applyFont="1" applyFill="1" applyBorder="1"/>
    <xf numFmtId="0" fontId="5" fillId="7" borderId="9" xfId="2" applyFont="1" applyFill="1" applyBorder="1" applyAlignment="1">
      <alignment horizontal="center"/>
    </xf>
    <xf numFmtId="0" fontId="0" fillId="8" borderId="0" xfId="0" applyFill="1"/>
    <xf numFmtId="0" fontId="0" fillId="10" borderId="9" xfId="0" applyFill="1" applyBorder="1"/>
    <xf numFmtId="0" fontId="5" fillId="10" borderId="9" xfId="0" applyFont="1" applyFill="1" applyBorder="1"/>
    <xf numFmtId="44" fontId="10" fillId="10" borderId="17" xfId="5" applyFont="1" applyFill="1" applyBorder="1"/>
    <xf numFmtId="44" fontId="10" fillId="10" borderId="9" xfId="5" applyFont="1" applyFill="1" applyBorder="1"/>
    <xf numFmtId="2" fontId="10" fillId="10" borderId="17" xfId="5" applyNumberFormat="1" applyFont="1" applyFill="1" applyBorder="1"/>
    <xf numFmtId="44" fontId="34" fillId="10" borderId="9" xfId="7" applyNumberFormat="1" applyFont="1" applyFill="1" applyBorder="1" applyAlignment="1">
      <alignment horizontal="right"/>
    </xf>
    <xf numFmtId="44" fontId="34" fillId="10" borderId="9" xfId="6" applyNumberFormat="1" applyFont="1" applyFill="1" applyBorder="1" applyAlignment="1">
      <alignment horizontal="right"/>
    </xf>
    <xf numFmtId="2" fontId="34" fillId="10" borderId="9" xfId="6" applyNumberFormat="1" applyFont="1" applyFill="1" applyBorder="1" applyAlignment="1">
      <alignment horizontal="right"/>
    </xf>
    <xf numFmtId="44" fontId="34" fillId="10" borderId="9" xfId="6" applyNumberFormat="1" applyFont="1" applyFill="1" applyBorder="1"/>
    <xf numFmtId="0" fontId="5" fillId="10" borderId="6" xfId="0" applyFont="1" applyFill="1" applyBorder="1"/>
    <xf numFmtId="0" fontId="15" fillId="10" borderId="10" xfId="0" applyFont="1" applyFill="1" applyBorder="1" applyAlignment="1">
      <alignment horizontal="left"/>
    </xf>
    <xf numFmtId="0" fontId="5" fillId="10" borderId="2" xfId="0" applyFont="1" applyFill="1" applyBorder="1" applyAlignment="1">
      <alignment horizontal="center" wrapText="1"/>
    </xf>
    <xf numFmtId="0" fontId="10" fillId="10" borderId="11" xfId="0" applyFont="1" applyFill="1" applyBorder="1" applyAlignment="1">
      <alignment horizontal="center" vertical="center" wrapText="1"/>
    </xf>
    <xf numFmtId="0" fontId="5" fillId="10" borderId="7" xfId="0" applyFont="1" applyFill="1" applyBorder="1"/>
    <xf numFmtId="0" fontId="10" fillId="10" borderId="2" xfId="0" applyFont="1" applyFill="1" applyBorder="1" applyAlignment="1">
      <alignment horizontal="center" wrapText="1"/>
    </xf>
    <xf numFmtId="0" fontId="5" fillId="10" borderId="2" xfId="0" applyFont="1" applyFill="1" applyBorder="1" applyAlignment="1">
      <alignment horizontal="right" wrapText="1"/>
    </xf>
    <xf numFmtId="0" fontId="10" fillId="10" borderId="2" xfId="0" applyFont="1" applyFill="1" applyBorder="1" applyAlignment="1">
      <alignment horizontal="right" wrapText="1"/>
    </xf>
    <xf numFmtId="44" fontId="34" fillId="10" borderId="6" xfId="7" applyNumberFormat="1" applyFont="1" applyFill="1" applyBorder="1" applyAlignment="1">
      <alignment horizontal="right"/>
    </xf>
    <xf numFmtId="44" fontId="34" fillId="10" borderId="6" xfId="6" applyNumberFormat="1" applyFont="1" applyFill="1" applyBorder="1" applyAlignment="1">
      <alignment horizontal="right"/>
    </xf>
    <xf numFmtId="2" fontId="34" fillId="10" borderId="6" xfId="6" applyNumberFormat="1" applyFont="1" applyFill="1" applyBorder="1" applyAlignment="1">
      <alignment horizontal="right"/>
    </xf>
    <xf numFmtId="44" fontId="34" fillId="10" borderId="6" xfId="6" applyNumberFormat="1" applyFont="1" applyFill="1" applyBorder="1"/>
    <xf numFmtId="44" fontId="10" fillId="10" borderId="6" xfId="5" applyFont="1" applyFill="1" applyBorder="1"/>
    <xf numFmtId="166" fontId="35" fillId="9" borderId="18" xfId="0" applyNumberFormat="1" applyFont="1" applyFill="1" applyBorder="1" applyAlignment="1">
      <alignment horizontal="center"/>
    </xf>
    <xf numFmtId="166" fontId="35" fillId="9" borderId="0" xfId="0" applyNumberFormat="1" applyFont="1" applyFill="1" applyAlignment="1">
      <alignment horizontal="center"/>
    </xf>
    <xf numFmtId="166" fontId="35" fillId="9" borderId="0" xfId="0" applyNumberFormat="1" applyFont="1" applyFill="1" applyBorder="1" applyAlignment="1">
      <alignment horizontal="center"/>
    </xf>
    <xf numFmtId="0" fontId="5" fillId="0" borderId="0" xfId="0" applyFont="1" applyBorder="1" applyProtection="1">
      <protection locked="0"/>
    </xf>
    <xf numFmtId="0" fontId="5" fillId="0" borderId="0" xfId="0" applyFont="1" applyAlignment="1">
      <alignment horizontal="center" vertical="center"/>
    </xf>
    <xf numFmtId="0" fontId="12" fillId="4" borderId="0" xfId="0" applyFont="1" applyFill="1"/>
    <xf numFmtId="164" fontId="0" fillId="3" borderId="0" xfId="0" applyNumberFormat="1" applyFill="1" applyBorder="1"/>
    <xf numFmtId="0" fontId="14" fillId="8" borderId="0" xfId="0" applyFont="1" applyFill="1" applyBorder="1"/>
    <xf numFmtId="0" fontId="14" fillId="8" borderId="0" xfId="0" applyFont="1" applyFill="1" applyBorder="1" applyAlignment="1">
      <alignment horizontal="center"/>
    </xf>
    <xf numFmtId="164" fontId="0" fillId="8" borderId="0" xfId="0" applyNumberFormat="1" applyFill="1" applyBorder="1" applyProtection="1"/>
    <xf numFmtId="164" fontId="10" fillId="8" borderId="0" xfId="0" applyNumberFormat="1" applyFont="1" applyFill="1" applyBorder="1" applyAlignment="1" applyProtection="1">
      <alignment horizontal="left"/>
    </xf>
    <xf numFmtId="164" fontId="0" fillId="8" borderId="0" xfId="0" applyNumberFormat="1" applyFill="1" applyBorder="1"/>
    <xf numFmtId="164" fontId="10" fillId="8" borderId="0" xfId="0" applyNumberFormat="1" applyFont="1" applyFill="1" applyBorder="1" applyAlignment="1">
      <alignment horizontal="left"/>
    </xf>
    <xf numFmtId="164" fontId="10" fillId="8" borderId="0" xfId="0" applyNumberFormat="1" applyFont="1" applyFill="1" applyBorder="1"/>
    <xf numFmtId="0" fontId="17" fillId="8" borderId="0" xfId="0" applyFont="1" applyFill="1" applyBorder="1" applyAlignment="1" applyProtection="1">
      <alignment horizontal="left" vertical="top" wrapText="1"/>
      <protection locked="0"/>
    </xf>
    <xf numFmtId="0" fontId="5" fillId="8" borderId="0" xfId="0" applyFont="1" applyFill="1" applyBorder="1"/>
    <xf numFmtId="0" fontId="10" fillId="2" borderId="0" xfId="0" applyFont="1" applyFill="1" applyBorder="1"/>
    <xf numFmtId="0" fontId="10" fillId="2" borderId="0" xfId="0" applyFont="1" applyFill="1" applyBorder="1" applyAlignment="1">
      <alignment horizontal="center"/>
    </xf>
    <xf numFmtId="0" fontId="10" fillId="2" borderId="0" xfId="0" applyFont="1" applyFill="1" applyBorder="1" applyAlignment="1">
      <alignment horizontal="center" vertical="center"/>
    </xf>
    <xf numFmtId="164" fontId="10" fillId="3" borderId="0" xfId="0" applyNumberFormat="1" applyFont="1" applyFill="1" applyBorder="1"/>
    <xf numFmtId="0" fontId="36" fillId="4" borderId="0" xfId="0" applyFont="1" applyFill="1"/>
    <xf numFmtId="0" fontId="11" fillId="8" borderId="0" xfId="1" applyFill="1" applyAlignment="1" applyProtection="1"/>
    <xf numFmtId="0" fontId="15" fillId="4" borderId="1" xfId="0" applyFont="1" applyFill="1" applyBorder="1"/>
    <xf numFmtId="0" fontId="10" fillId="8" borderId="0" xfId="0" applyFont="1" applyFill="1"/>
    <xf numFmtId="0" fontId="5" fillId="0" borderId="0" xfId="0" applyFont="1" applyBorder="1" applyAlignment="1" applyProtection="1">
      <alignment horizontal="center" vertical="center"/>
      <protection locked="0"/>
    </xf>
    <xf numFmtId="44" fontId="12" fillId="5" borderId="0" xfId="0" applyNumberFormat="1" applyFont="1" applyFill="1" applyBorder="1" applyAlignment="1">
      <alignment horizontal="center"/>
    </xf>
    <xf numFmtId="0" fontId="35" fillId="9" borderId="18" xfId="0" applyFont="1" applyFill="1" applyBorder="1"/>
    <xf numFmtId="0" fontId="35" fillId="9" borderId="8" xfId="0" applyFont="1" applyFill="1" applyBorder="1"/>
    <xf numFmtId="0" fontId="35" fillId="9" borderId="0" xfId="0" applyFont="1" applyFill="1" applyBorder="1"/>
    <xf numFmtId="0" fontId="35" fillId="9" borderId="0" xfId="0" applyFont="1" applyFill="1"/>
    <xf numFmtId="0" fontId="12" fillId="5" borderId="0" xfId="0" applyFont="1" applyFill="1" applyBorder="1"/>
    <xf numFmtId="166" fontId="12" fillId="5" borderId="0" xfId="0" applyNumberFormat="1" applyFont="1" applyFill="1" applyBorder="1" applyAlignment="1">
      <alignment horizontal="center"/>
    </xf>
    <xf numFmtId="164" fontId="5" fillId="3" borderId="0" xfId="0" applyNumberFormat="1" applyFont="1" applyFill="1" applyAlignment="1">
      <alignment horizontal="right"/>
    </xf>
    <xf numFmtId="0" fontId="15" fillId="2" borderId="0" xfId="0" applyFont="1" applyFill="1" applyBorder="1"/>
    <xf numFmtId="164" fontId="15" fillId="3" borderId="0" xfId="0" applyNumberFormat="1" applyFont="1" applyFill="1" applyBorder="1"/>
    <xf numFmtId="164" fontId="22" fillId="0" borderId="0" xfId="0" applyNumberFormat="1" applyFont="1" applyFill="1" applyBorder="1" applyAlignment="1" applyProtection="1">
      <alignment horizontal="center"/>
    </xf>
    <xf numFmtId="164" fontId="0" fillId="0" borderId="0" xfId="0" applyNumberFormat="1" applyBorder="1" applyAlignment="1" applyProtection="1">
      <alignment horizontal="center"/>
    </xf>
    <xf numFmtId="164" fontId="0" fillId="2" borderId="0" xfId="0" applyNumberFormat="1" applyFill="1" applyBorder="1" applyAlignment="1" applyProtection="1">
      <alignment horizontal="center"/>
      <protection locked="0"/>
    </xf>
    <xf numFmtId="0" fontId="5" fillId="2" borderId="0" xfId="0" applyFont="1" applyFill="1" applyBorder="1"/>
    <xf numFmtId="0" fontId="5" fillId="2" borderId="0" xfId="0" applyFont="1" applyFill="1" applyBorder="1" applyAlignment="1">
      <alignment horizontal="center"/>
    </xf>
    <xf numFmtId="0" fontId="5" fillId="2" borderId="0" xfId="0" applyFont="1" applyFill="1" applyBorder="1" applyAlignment="1">
      <alignment horizontal="center" vertical="center"/>
    </xf>
    <xf numFmtId="0" fontId="20" fillId="8" borderId="0" xfId="1" applyFont="1" applyFill="1" applyAlignment="1" applyProtection="1"/>
    <xf numFmtId="0" fontId="0" fillId="8" borderId="0" xfId="0" applyFill="1" applyAlignment="1">
      <alignment horizontal="center" vertical="center"/>
    </xf>
    <xf numFmtId="0" fontId="8" fillId="2" borderId="0" xfId="0" applyFont="1" applyFill="1" applyBorder="1" applyAlignment="1">
      <alignment horizontal="center"/>
    </xf>
    <xf numFmtId="0" fontId="0" fillId="3" borderId="0" xfId="0" applyFill="1" applyBorder="1"/>
    <xf numFmtId="0" fontId="12" fillId="2" borderId="12" xfId="0" applyFont="1" applyFill="1" applyBorder="1" applyAlignment="1">
      <alignment horizontal="center"/>
    </xf>
    <xf numFmtId="166" fontId="35" fillId="9" borderId="12" xfId="0" applyNumberFormat="1" applyFont="1" applyFill="1" applyBorder="1" applyAlignment="1">
      <alignment horizontal="center"/>
    </xf>
    <xf numFmtId="0" fontId="12" fillId="2" borderId="5" xfId="0" applyFont="1" applyFill="1" applyBorder="1" applyAlignment="1">
      <alignment horizontal="center"/>
    </xf>
    <xf numFmtId="166" fontId="35" fillId="9" borderId="5" xfId="0" applyNumberFormat="1" applyFont="1" applyFill="1" applyBorder="1" applyAlignment="1">
      <alignment horizontal="center"/>
    </xf>
    <xf numFmtId="166" fontId="6" fillId="5" borderId="12" xfId="0" applyNumberFormat="1" applyFont="1" applyFill="1" applyBorder="1" applyAlignment="1">
      <alignment horizontal="center"/>
    </xf>
    <xf numFmtId="44" fontId="12" fillId="5" borderId="12" xfId="0" applyNumberFormat="1" applyFont="1" applyFill="1" applyBorder="1" applyAlignment="1">
      <alignment horizontal="center"/>
    </xf>
    <xf numFmtId="166" fontId="35" fillId="9" borderId="19" xfId="0" applyNumberFormat="1" applyFont="1" applyFill="1" applyBorder="1" applyAlignment="1">
      <alignment horizontal="center"/>
    </xf>
    <xf numFmtId="166" fontId="6" fillId="5" borderId="5" xfId="0" applyNumberFormat="1" applyFont="1" applyFill="1" applyBorder="1" applyAlignment="1">
      <alignment horizontal="center"/>
    </xf>
    <xf numFmtId="166" fontId="6" fillId="2" borderId="5" xfId="0" applyNumberFormat="1" applyFont="1" applyFill="1" applyBorder="1" applyAlignment="1">
      <alignment horizontal="center"/>
    </xf>
    <xf numFmtId="44" fontId="12" fillId="5" borderId="5" xfId="0" applyNumberFormat="1" applyFont="1" applyFill="1" applyBorder="1" applyAlignment="1">
      <alignment horizontal="center"/>
    </xf>
    <xf numFmtId="166" fontId="35" fillId="9" borderId="20" xfId="0" applyNumberFormat="1" applyFont="1" applyFill="1" applyBorder="1" applyAlignment="1">
      <alignment horizontal="center"/>
    </xf>
    <xf numFmtId="166" fontId="12" fillId="2" borderId="12" xfId="0" applyNumberFormat="1" applyFont="1" applyFill="1" applyBorder="1" applyAlignment="1">
      <alignment horizontal="center"/>
    </xf>
    <xf numFmtId="164" fontId="5" fillId="2" borderId="0" xfId="0" applyNumberFormat="1" applyFont="1" applyFill="1" applyAlignment="1">
      <alignment horizontal="center"/>
    </xf>
    <xf numFmtId="0" fontId="11" fillId="3" borderId="2" xfId="1" applyFill="1" applyBorder="1" applyAlignment="1" applyProtection="1"/>
    <xf numFmtId="0" fontId="11" fillId="3" borderId="11" xfId="1" applyFill="1" applyBorder="1" applyAlignment="1" applyProtection="1"/>
    <xf numFmtId="44" fontId="10" fillId="10" borderId="17" xfId="5" applyNumberFormat="1" applyFont="1" applyFill="1" applyBorder="1"/>
    <xf numFmtId="0" fontId="5" fillId="10" borderId="7" xfId="0" applyFont="1" applyFill="1" applyBorder="1" applyAlignment="1">
      <alignment horizontal="center" wrapText="1"/>
    </xf>
    <xf numFmtId="44" fontId="33" fillId="10" borderId="6" xfId="6" applyNumberFormat="1" applyFont="1" applyFill="1" applyBorder="1"/>
    <xf numFmtId="44" fontId="34" fillId="10" borderId="9" xfId="7" applyNumberFormat="1" applyFont="1" applyFill="1" applyBorder="1"/>
    <xf numFmtId="0" fontId="16" fillId="4" borderId="0" xfId="0" applyFont="1" applyFill="1" applyBorder="1"/>
    <xf numFmtId="14" fontId="5" fillId="0" borderId="0" xfId="2" applyNumberFormat="1" applyAlignment="1">
      <alignment horizontal="left"/>
    </xf>
    <xf numFmtId="0" fontId="5" fillId="2" borderId="0" xfId="0" applyFont="1" applyFill="1" applyAlignment="1">
      <alignment horizontal="right"/>
    </xf>
    <xf numFmtId="1" fontId="5" fillId="0" borderId="0" xfId="0" applyNumberFormat="1" applyFont="1" applyFill="1" applyAlignment="1">
      <alignment horizontal="center"/>
    </xf>
    <xf numFmtId="164" fontId="24" fillId="0" borderId="0" xfId="5" applyNumberFormat="1" applyFont="1" applyFill="1" applyAlignment="1">
      <alignment horizontal="center"/>
    </xf>
    <xf numFmtId="164" fontId="23" fillId="8" borderId="0" xfId="0" applyNumberFormat="1" applyFont="1" applyFill="1" applyAlignment="1" applyProtection="1">
      <alignment horizontal="center"/>
    </xf>
    <xf numFmtId="9" fontId="24" fillId="0" borderId="0" xfId="3" applyFont="1" applyFill="1" applyAlignment="1">
      <alignment horizontal="center"/>
    </xf>
    <xf numFmtId="164" fontId="40" fillId="0" borderId="0" xfId="0" applyNumberFormat="1" applyFont="1" applyFill="1" applyAlignment="1" applyProtection="1">
      <alignment horizontal="center"/>
    </xf>
    <xf numFmtId="166" fontId="26" fillId="8" borderId="0" xfId="0" applyNumberFormat="1" applyFont="1" applyFill="1" applyBorder="1" applyAlignment="1">
      <alignment horizontal="center"/>
    </xf>
    <xf numFmtId="0" fontId="11" fillId="8" borderId="0" xfId="1" applyFill="1" applyBorder="1" applyAlignment="1" applyProtection="1"/>
    <xf numFmtId="0" fontId="12" fillId="4" borderId="1" xfId="0" applyFont="1" applyFill="1" applyBorder="1"/>
    <xf numFmtId="0" fontId="6" fillId="4" borderId="1" xfId="0" applyFont="1" applyFill="1" applyBorder="1"/>
    <xf numFmtId="0" fontId="0" fillId="11" borderId="0" xfId="0" applyFill="1" applyAlignment="1">
      <alignment horizontal="center"/>
    </xf>
    <xf numFmtId="0" fontId="0" fillId="2" borderId="6" xfId="0" applyFill="1" applyBorder="1" applyAlignment="1">
      <alignment horizontal="center" vertical="center"/>
    </xf>
    <xf numFmtId="0" fontId="15" fillId="11" borderId="10" xfId="0" applyFont="1" applyFill="1" applyBorder="1" applyAlignment="1">
      <alignment horizontal="left"/>
    </xf>
    <xf numFmtId="0" fontId="5" fillId="11" borderId="2" xfId="0" applyFont="1" applyFill="1" applyBorder="1" applyAlignment="1">
      <alignment horizontal="center" wrapText="1"/>
    </xf>
    <xf numFmtId="0" fontId="10" fillId="11" borderId="2" xfId="0" applyFont="1" applyFill="1" applyBorder="1" applyAlignment="1">
      <alignment horizontal="center" wrapText="1"/>
    </xf>
    <xf numFmtId="0" fontId="5" fillId="11" borderId="2" xfId="0" applyFont="1" applyFill="1" applyBorder="1" applyAlignment="1">
      <alignment horizontal="right" wrapText="1"/>
    </xf>
    <xf numFmtId="0" fontId="10" fillId="11" borderId="2" xfId="0" applyFont="1" applyFill="1" applyBorder="1" applyAlignment="1">
      <alignment horizontal="right" wrapText="1"/>
    </xf>
    <xf numFmtId="0" fontId="10" fillId="11" borderId="11" xfId="0" applyFont="1" applyFill="1" applyBorder="1" applyAlignment="1">
      <alignment horizontal="center" vertical="center" wrapText="1"/>
    </xf>
    <xf numFmtId="0" fontId="5" fillId="11" borderId="7" xfId="0" applyFont="1" applyFill="1" applyBorder="1"/>
    <xf numFmtId="44" fontId="34" fillId="11" borderId="9" xfId="7" applyNumberFormat="1" applyFont="1" applyFill="1" applyBorder="1"/>
    <xf numFmtId="44" fontId="34" fillId="11" borderId="9" xfId="6" applyNumberFormat="1" applyFont="1" applyFill="1" applyBorder="1"/>
    <xf numFmtId="44" fontId="34" fillId="11" borderId="9" xfId="6" applyNumberFormat="1" applyFont="1" applyFill="1" applyBorder="1" applyAlignment="1">
      <alignment horizontal="right"/>
    </xf>
    <xf numFmtId="2" fontId="34" fillId="11" borderId="9" xfId="6" applyNumberFormat="1" applyFont="1" applyFill="1" applyBorder="1" applyAlignment="1">
      <alignment horizontal="right"/>
    </xf>
    <xf numFmtId="44" fontId="34" fillId="11" borderId="6" xfId="6" applyNumberFormat="1" applyFont="1" applyFill="1" applyBorder="1"/>
    <xf numFmtId="44" fontId="10" fillId="11" borderId="9" xfId="5" applyFont="1" applyFill="1" applyBorder="1"/>
    <xf numFmtId="0" fontId="5" fillId="11" borderId="2" xfId="0" applyFont="1" applyFill="1" applyBorder="1"/>
    <xf numFmtId="44" fontId="34" fillId="11" borderId="2" xfId="6" applyNumberFormat="1" applyFont="1" applyFill="1" applyBorder="1" applyAlignment="1">
      <alignment horizontal="right"/>
    </xf>
    <xf numFmtId="2" fontId="34" fillId="11" borderId="2" xfId="6" applyNumberFormat="1" applyFont="1" applyFill="1" applyBorder="1" applyAlignment="1">
      <alignment horizontal="right"/>
    </xf>
    <xf numFmtId="44" fontId="34" fillId="11" borderId="2" xfId="6" applyNumberFormat="1" applyFont="1" applyFill="1" applyBorder="1"/>
    <xf numFmtId="44" fontId="33" fillId="11" borderId="2" xfId="6" applyNumberFormat="1" applyFont="1" applyFill="1" applyBorder="1"/>
    <xf numFmtId="44" fontId="10" fillId="11" borderId="11" xfId="5" applyFont="1" applyFill="1" applyBorder="1"/>
    <xf numFmtId="44" fontId="34" fillId="11" borderId="6" xfId="6" applyNumberFormat="1" applyFont="1" applyFill="1" applyBorder="1" applyAlignment="1">
      <alignment horizontal="right"/>
    </xf>
    <xf numFmtId="2" fontId="34" fillId="11" borderId="6" xfId="6" applyNumberFormat="1" applyFont="1" applyFill="1" applyBorder="1" applyAlignment="1">
      <alignment horizontal="right"/>
    </xf>
    <xf numFmtId="44" fontId="33" fillId="11" borderId="6" xfId="6" applyNumberFormat="1" applyFont="1" applyFill="1" applyBorder="1"/>
    <xf numFmtId="44" fontId="10" fillId="11" borderId="6" xfId="5" applyFont="1" applyFill="1" applyBorder="1"/>
    <xf numFmtId="0" fontId="16" fillId="8" borderId="0" xfId="0" applyFont="1" applyFill="1" applyBorder="1"/>
    <xf numFmtId="0" fontId="0" fillId="8" borderId="0" xfId="0" applyFill="1" applyBorder="1" applyAlignment="1">
      <alignment horizontal="center"/>
    </xf>
    <xf numFmtId="0" fontId="0" fillId="8" borderId="0" xfId="0" applyFill="1" applyBorder="1" applyAlignment="1">
      <alignment horizontal="center" vertical="center"/>
    </xf>
    <xf numFmtId="0" fontId="12" fillId="8" borderId="0" xfId="0" applyFont="1" applyFill="1"/>
    <xf numFmtId="0" fontId="5" fillId="8" borderId="0" xfId="0" applyFont="1" applyFill="1" applyAlignment="1">
      <alignment horizontal="right" wrapText="1"/>
    </xf>
    <xf numFmtId="44" fontId="10" fillId="8" borderId="16" xfId="5" applyFont="1" applyFill="1" applyBorder="1"/>
    <xf numFmtId="0" fontId="21" fillId="8" borderId="0" xfId="0" applyFont="1" applyFill="1"/>
    <xf numFmtId="0" fontId="15" fillId="8" borderId="0" xfId="0" applyFont="1" applyFill="1"/>
    <xf numFmtId="0" fontId="15" fillId="7" borderId="2" xfId="0" applyFont="1" applyFill="1" applyBorder="1"/>
    <xf numFmtId="0" fontId="5" fillId="7" borderId="2" xfId="0" applyFont="1" applyFill="1" applyBorder="1" applyAlignment="1">
      <alignment horizontal="center"/>
    </xf>
    <xf numFmtId="0" fontId="5" fillId="7" borderId="2" xfId="0" applyFont="1" applyFill="1" applyBorder="1" applyAlignment="1">
      <alignment horizontal="right"/>
    </xf>
    <xf numFmtId="0" fontId="5" fillId="7" borderId="9" xfId="2" applyFont="1" applyFill="1" applyBorder="1" applyAlignment="1">
      <alignment horizontal="right"/>
    </xf>
    <xf numFmtId="0" fontId="10" fillId="2" borderId="0" xfId="0" applyFont="1" applyFill="1" applyBorder="1" applyAlignment="1">
      <alignment vertical="top"/>
    </xf>
    <xf numFmtId="0" fontId="10" fillId="2" borderId="0" xfId="0" applyFont="1" applyFill="1" applyBorder="1" applyAlignment="1">
      <alignment horizontal="center" vertical="top"/>
    </xf>
    <xf numFmtId="164" fontId="10" fillId="3" borderId="0" xfId="0" applyNumberFormat="1" applyFont="1" applyFill="1" applyBorder="1" applyAlignment="1">
      <alignment vertical="top"/>
    </xf>
    <xf numFmtId="0" fontId="35" fillId="9" borderId="0" xfId="0" applyNumberFormat="1" applyFont="1" applyFill="1" applyAlignment="1">
      <alignment horizontal="center"/>
    </xf>
    <xf numFmtId="0" fontId="30" fillId="7" borderId="9" xfId="0" applyFont="1" applyFill="1" applyBorder="1" applyAlignment="1"/>
    <xf numFmtId="0" fontId="10" fillId="7" borderId="9" xfId="0" applyFont="1" applyFill="1" applyBorder="1" applyAlignment="1"/>
    <xf numFmtId="1" fontId="5" fillId="7" borderId="9" xfId="0" applyNumberFormat="1" applyFont="1" applyFill="1" applyBorder="1" applyAlignment="1">
      <alignment horizontal="right"/>
    </xf>
    <xf numFmtId="0" fontId="5" fillId="4" borderId="0" xfId="0" applyFont="1" applyFill="1" applyBorder="1"/>
    <xf numFmtId="0" fontId="5" fillId="4" borderId="0" xfId="0" applyFont="1" applyFill="1" applyBorder="1" applyAlignment="1">
      <alignment horizontal="center"/>
    </xf>
    <xf numFmtId="0" fontId="5" fillId="4" borderId="0" xfId="0" applyFont="1" applyFill="1" applyBorder="1" applyAlignment="1">
      <alignment horizontal="center" vertical="center"/>
    </xf>
    <xf numFmtId="164" fontId="5" fillId="0" borderId="0" xfId="0" applyNumberFormat="1" applyFont="1" applyFill="1"/>
    <xf numFmtId="0" fontId="5" fillId="4" borderId="0" xfId="0" applyFont="1" applyFill="1" applyAlignment="1">
      <alignment horizontal="center"/>
    </xf>
    <xf numFmtId="1" fontId="5" fillId="4" borderId="0" xfId="0" applyNumberFormat="1" applyFont="1" applyFill="1" applyAlignment="1">
      <alignment horizontal="center"/>
    </xf>
    <xf numFmtId="44" fontId="5" fillId="4" borderId="0" xfId="0" applyNumberFormat="1" applyFont="1" applyFill="1" applyAlignment="1">
      <alignment horizontal="center"/>
    </xf>
    <xf numFmtId="44" fontId="10" fillId="4" borderId="0" xfId="0" applyNumberFormat="1" applyFont="1" applyFill="1"/>
    <xf numFmtId="0" fontId="5" fillId="8" borderId="0" xfId="0" applyFont="1" applyFill="1" applyBorder="1" applyAlignment="1"/>
    <xf numFmtId="0" fontId="28" fillId="8" borderId="0" xfId="0" applyFont="1" applyFill="1" applyBorder="1" applyAlignment="1"/>
    <xf numFmtId="0" fontId="23" fillId="8" borderId="0" xfId="0" applyFont="1" applyFill="1" applyBorder="1" applyAlignment="1"/>
    <xf numFmtId="0" fontId="43" fillId="8" borderId="0" xfId="0" applyFont="1" applyFill="1" applyBorder="1" applyAlignment="1"/>
    <xf numFmtId="0" fontId="44" fillId="4" borderId="0" xfId="0" applyFont="1" applyFill="1"/>
    <xf numFmtId="0" fontId="10" fillId="8" borderId="0" xfId="0" applyFont="1" applyFill="1" applyBorder="1" applyAlignment="1">
      <alignment vertical="center"/>
    </xf>
    <xf numFmtId="0" fontId="5" fillId="8" borderId="0" xfId="0" applyFont="1" applyFill="1" applyBorder="1" applyAlignment="1">
      <alignment vertical="center"/>
    </xf>
    <xf numFmtId="0" fontId="10" fillId="8" borderId="1" xfId="0" applyFont="1" applyFill="1" applyBorder="1" applyAlignment="1">
      <alignment vertical="center"/>
    </xf>
    <xf numFmtId="0" fontId="5" fillId="8" borderId="1" xfId="0" applyFont="1" applyFill="1" applyBorder="1"/>
    <xf numFmtId="0" fontId="5" fillId="8" borderId="1" xfId="0" applyFont="1" applyFill="1" applyBorder="1" applyAlignment="1">
      <alignment vertical="center"/>
    </xf>
    <xf numFmtId="0" fontId="15" fillId="2" borderId="0" xfId="0" applyFont="1" applyFill="1" applyAlignment="1"/>
    <xf numFmtId="1" fontId="5" fillId="2" borderId="0" xfId="0" applyNumberFormat="1" applyFont="1" applyFill="1" applyAlignment="1">
      <alignment horizontal="center"/>
    </xf>
    <xf numFmtId="44" fontId="5" fillId="2" borderId="0" xfId="0" applyNumberFormat="1" applyFont="1" applyFill="1" applyAlignment="1">
      <alignment horizontal="center"/>
    </xf>
    <xf numFmtId="0" fontId="10" fillId="2" borderId="12" xfId="0" applyFont="1" applyFill="1" applyBorder="1" applyAlignment="1">
      <alignment horizontal="center"/>
    </xf>
    <xf numFmtId="0" fontId="5" fillId="2" borderId="3" xfId="0" applyFont="1" applyFill="1" applyBorder="1"/>
    <xf numFmtId="44" fontId="10" fillId="2" borderId="0" xfId="0" applyNumberFormat="1" applyFont="1" applyFill="1"/>
    <xf numFmtId="1" fontId="10" fillId="2" borderId="0" xfId="0" applyNumberFormat="1" applyFont="1" applyFill="1" applyBorder="1" applyAlignment="1">
      <alignment horizontal="center"/>
    </xf>
    <xf numFmtId="0" fontId="10" fillId="2" borderId="3" xfId="0" applyFont="1" applyFill="1" applyBorder="1" applyAlignment="1">
      <alignment horizontal="center"/>
    </xf>
    <xf numFmtId="166" fontId="10" fillId="2" borderId="0" xfId="0" applyNumberFormat="1" applyFont="1" applyFill="1" applyAlignment="1">
      <alignment horizontal="center"/>
    </xf>
    <xf numFmtId="44" fontId="10" fillId="2" borderId="0" xfId="0" applyNumberFormat="1" applyFont="1" applyFill="1" applyBorder="1" applyAlignment="1">
      <alignment horizontal="center"/>
    </xf>
    <xf numFmtId="1" fontId="10" fillId="5" borderId="3" xfId="0" applyNumberFormat="1" applyFont="1" applyFill="1" applyBorder="1" applyAlignment="1">
      <alignment horizontal="center"/>
    </xf>
    <xf numFmtId="166" fontId="10" fillId="2" borderId="0" xfId="0" applyNumberFormat="1" applyFont="1" applyFill="1" applyBorder="1" applyAlignment="1">
      <alignment horizontal="center"/>
    </xf>
    <xf numFmtId="0" fontId="10" fillId="2" borderId="1" xfId="0" applyFont="1" applyFill="1" applyBorder="1" applyAlignment="1"/>
    <xf numFmtId="1" fontId="10" fillId="5" borderId="1" xfId="0" applyNumberFormat="1" applyFont="1" applyFill="1" applyBorder="1" applyAlignment="1">
      <alignment horizontal="center"/>
    </xf>
    <xf numFmtId="44" fontId="10" fillId="5" borderId="13" xfId="0" applyNumberFormat="1" applyFont="1" applyFill="1" applyBorder="1" applyAlignment="1">
      <alignment horizontal="center"/>
    </xf>
    <xf numFmtId="44" fontId="10" fillId="5" borderId="1" xfId="0" applyNumberFormat="1" applyFont="1" applyFill="1" applyBorder="1" applyAlignment="1">
      <alignment horizontal="center"/>
    </xf>
    <xf numFmtId="44" fontId="10" fillId="5" borderId="4" xfId="0" applyNumberFormat="1" applyFont="1" applyFill="1" applyBorder="1" applyAlignment="1">
      <alignment horizontal="center"/>
    </xf>
    <xf numFmtId="164" fontId="42" fillId="10" borderId="0" xfId="0" applyNumberFormat="1" applyFont="1" applyFill="1" applyBorder="1" applyAlignment="1">
      <alignment horizontal="center"/>
    </xf>
    <xf numFmtId="166" fontId="5" fillId="10" borderId="0" xfId="0" applyNumberFormat="1" applyFont="1" applyFill="1" applyBorder="1" applyAlignment="1">
      <alignment horizontal="center"/>
    </xf>
    <xf numFmtId="166" fontId="5" fillId="10" borderId="12" xfId="0" applyNumberFormat="1" applyFont="1" applyFill="1" applyBorder="1" applyAlignment="1">
      <alignment horizontal="center"/>
    </xf>
    <xf numFmtId="166" fontId="5" fillId="10" borderId="3" xfId="0" applyNumberFormat="1" applyFont="1" applyFill="1" applyBorder="1" applyAlignment="1">
      <alignment horizontal="center"/>
    </xf>
    <xf numFmtId="166" fontId="10" fillId="10" borderId="0" xfId="0" applyNumberFormat="1" applyFont="1" applyFill="1" applyBorder="1" applyAlignment="1">
      <alignment horizontal="center"/>
    </xf>
    <xf numFmtId="49" fontId="5" fillId="10" borderId="0" xfId="0" applyNumberFormat="1" applyFont="1" applyFill="1" applyBorder="1" applyAlignment="1">
      <alignment horizontal="center"/>
    </xf>
    <xf numFmtId="0" fontId="5" fillId="0" borderId="0" xfId="0" applyFont="1" applyBorder="1"/>
    <xf numFmtId="0" fontId="15" fillId="10" borderId="0" xfId="0" applyFont="1" applyFill="1" applyBorder="1" applyAlignment="1" applyProtection="1">
      <alignment horizontal="center"/>
      <protection locked="0"/>
    </xf>
    <xf numFmtId="0" fontId="15" fillId="10" borderId="0" xfId="0" applyFont="1" applyFill="1" applyBorder="1" applyAlignment="1" applyProtection="1">
      <alignment horizontal="left"/>
      <protection locked="0"/>
    </xf>
    <xf numFmtId="0" fontId="5" fillId="10" borderId="0" xfId="0" applyFont="1" applyFill="1" applyBorder="1" applyAlignment="1" applyProtection="1">
      <alignment horizontal="center"/>
      <protection locked="0"/>
    </xf>
    <xf numFmtId="1" fontId="42" fillId="10" borderId="0" xfId="0" applyNumberFormat="1" applyFont="1" applyFill="1" applyBorder="1" applyAlignment="1">
      <alignment horizontal="center"/>
    </xf>
    <xf numFmtId="0" fontId="45" fillId="10" borderId="0" xfId="1" applyFont="1" applyFill="1" applyBorder="1" applyAlignment="1" applyProtection="1">
      <alignment horizontal="center"/>
    </xf>
    <xf numFmtId="0" fontId="40" fillId="10" borderId="0" xfId="0" applyFont="1" applyFill="1" applyBorder="1" applyAlignment="1">
      <alignment horizontal="right"/>
    </xf>
    <xf numFmtId="0" fontId="40" fillId="10" borderId="0" xfId="0" applyFont="1" applyFill="1" applyBorder="1" applyAlignment="1">
      <alignment horizontal="center"/>
    </xf>
    <xf numFmtId="1" fontId="24" fillId="8" borderId="0" xfId="0" applyNumberFormat="1" applyFont="1" applyFill="1" applyBorder="1" applyAlignment="1">
      <alignment horizontal="center"/>
    </xf>
    <xf numFmtId="164" fontId="24" fillId="8" borderId="0" xfId="0" applyNumberFormat="1" applyFont="1" applyFill="1" applyBorder="1" applyAlignment="1">
      <alignment horizontal="center"/>
    </xf>
    <xf numFmtId="166" fontId="40" fillId="10" borderId="0" xfId="0" applyNumberFormat="1" applyFont="1" applyFill="1" applyBorder="1" applyAlignment="1">
      <alignment horizontal="center"/>
    </xf>
    <xf numFmtId="166" fontId="40" fillId="10" borderId="12" xfId="0" applyNumberFormat="1" applyFont="1" applyFill="1" applyBorder="1" applyAlignment="1">
      <alignment horizontal="center"/>
    </xf>
    <xf numFmtId="166" fontId="40" fillId="10" borderId="3" xfId="0" applyNumberFormat="1" applyFont="1" applyFill="1" applyBorder="1" applyAlignment="1">
      <alignment horizontal="center"/>
    </xf>
    <xf numFmtId="166" fontId="42" fillId="10" borderId="0" xfId="0" applyNumberFormat="1" applyFont="1" applyFill="1" applyBorder="1" applyAlignment="1">
      <alignment horizontal="center"/>
    </xf>
    <xf numFmtId="0" fontId="46" fillId="10" borderId="0" xfId="0" applyFont="1" applyFill="1" applyBorder="1" applyAlignment="1"/>
    <xf numFmtId="0" fontId="46" fillId="10" borderId="12" xfId="0" applyFont="1" applyFill="1" applyBorder="1" applyAlignment="1"/>
    <xf numFmtId="0" fontId="46" fillId="10" borderId="3" xfId="0" applyFont="1" applyFill="1" applyBorder="1" applyAlignment="1"/>
    <xf numFmtId="0" fontId="46" fillId="10" borderId="1" xfId="0" applyFont="1" applyFill="1" applyBorder="1" applyAlignment="1">
      <alignment horizontal="right"/>
    </xf>
    <xf numFmtId="1" fontId="37" fillId="8" borderId="0" xfId="0" applyNumberFormat="1" applyFont="1" applyFill="1" applyBorder="1" applyAlignment="1">
      <alignment horizontal="center"/>
    </xf>
    <xf numFmtId="0" fontId="40" fillId="10" borderId="1" xfId="0" applyFont="1" applyFill="1" applyBorder="1" applyAlignment="1">
      <alignment horizontal="center"/>
    </xf>
    <xf numFmtId="0" fontId="40" fillId="10" borderId="1" xfId="0" applyFont="1" applyFill="1" applyBorder="1" applyAlignment="1">
      <alignment horizontal="right"/>
    </xf>
    <xf numFmtId="164" fontId="42" fillId="10" borderId="1" xfId="0" applyNumberFormat="1" applyFont="1" applyFill="1" applyBorder="1" applyAlignment="1">
      <alignment horizontal="center"/>
    </xf>
    <xf numFmtId="166" fontId="40" fillId="10" borderId="1" xfId="0" applyNumberFormat="1" applyFont="1" applyFill="1" applyBorder="1" applyAlignment="1">
      <alignment horizontal="center"/>
    </xf>
    <xf numFmtId="166" fontId="40" fillId="10" borderId="13" xfId="0" applyNumberFormat="1" applyFont="1" applyFill="1" applyBorder="1" applyAlignment="1">
      <alignment horizontal="center"/>
    </xf>
    <xf numFmtId="166" fontId="40" fillId="10" borderId="4" xfId="0" applyNumberFormat="1" applyFont="1" applyFill="1" applyBorder="1" applyAlignment="1">
      <alignment horizontal="center"/>
    </xf>
    <xf numFmtId="166" fontId="42" fillId="10" borderId="1" xfId="0" applyNumberFormat="1" applyFont="1" applyFill="1" applyBorder="1" applyAlignment="1">
      <alignment horizontal="center"/>
    </xf>
    <xf numFmtId="166" fontId="42" fillId="10" borderId="4" xfId="0" applyNumberFormat="1" applyFont="1" applyFill="1" applyBorder="1" applyAlignment="1">
      <alignment horizontal="center"/>
    </xf>
    <xf numFmtId="49" fontId="40" fillId="10" borderId="1" xfId="0" applyNumberFormat="1" applyFont="1" applyFill="1" applyBorder="1" applyAlignment="1">
      <alignment horizontal="center"/>
    </xf>
    <xf numFmtId="1" fontId="5" fillId="8" borderId="0" xfId="0" applyNumberFormat="1" applyFont="1" applyFill="1" applyAlignment="1">
      <alignment horizontal="left"/>
    </xf>
    <xf numFmtId="0" fontId="5" fillId="8" borderId="0" xfId="0" applyFont="1" applyFill="1" applyBorder="1" applyAlignment="1">
      <alignment horizontal="center"/>
    </xf>
    <xf numFmtId="0" fontId="5" fillId="4" borderId="1" xfId="0" applyFont="1" applyFill="1" applyBorder="1"/>
    <xf numFmtId="0" fontId="5" fillId="4" borderId="1" xfId="0" applyFont="1" applyFill="1" applyBorder="1" applyAlignment="1">
      <alignment vertical="center"/>
    </xf>
    <xf numFmtId="0" fontId="5" fillId="4" borderId="1" xfId="0" applyFont="1" applyFill="1" applyBorder="1" applyAlignment="1">
      <alignment horizontal="center"/>
    </xf>
    <xf numFmtId="166" fontId="5" fillId="2" borderId="0" xfId="2" applyNumberFormat="1" applyFont="1" applyFill="1" applyBorder="1" applyAlignment="1">
      <alignment horizontal="center"/>
    </xf>
    <xf numFmtId="1" fontId="5" fillId="2" borderId="0" xfId="2" applyNumberFormat="1" applyFont="1" applyFill="1" applyBorder="1" applyAlignment="1">
      <alignment horizontal="left"/>
    </xf>
    <xf numFmtId="1" fontId="5" fillId="2" borderId="0" xfId="2" applyNumberFormat="1" applyFont="1" applyFill="1" applyBorder="1" applyAlignment="1">
      <alignment horizontal="center"/>
    </xf>
    <xf numFmtId="0" fontId="10" fillId="2" borderId="12" xfId="2" applyFont="1" applyFill="1" applyBorder="1" applyAlignment="1">
      <alignment horizontal="center"/>
    </xf>
    <xf numFmtId="0" fontId="10" fillId="2" borderId="0" xfId="2" applyFont="1" applyFill="1" applyBorder="1" applyAlignment="1">
      <alignment horizontal="center"/>
    </xf>
    <xf numFmtId="166" fontId="5" fillId="2" borderId="3" xfId="2" applyNumberFormat="1" applyFont="1" applyFill="1" applyBorder="1" applyAlignment="1">
      <alignment horizontal="center"/>
    </xf>
    <xf numFmtId="166" fontId="10" fillId="2" borderId="0" xfId="2" applyNumberFormat="1" applyFont="1" applyFill="1" applyBorder="1" applyAlignment="1">
      <alignment horizontal="center"/>
    </xf>
    <xf numFmtId="0" fontId="5" fillId="2" borderId="0" xfId="2" applyFont="1" applyFill="1" applyBorder="1"/>
    <xf numFmtId="166" fontId="5" fillId="5" borderId="0" xfId="2" applyNumberFormat="1" applyFont="1" applyFill="1" applyBorder="1" applyAlignment="1">
      <alignment horizontal="center"/>
    </xf>
    <xf numFmtId="1" fontId="5" fillId="5" borderId="0" xfId="2" applyNumberFormat="1" applyFont="1" applyFill="1" applyBorder="1" applyAlignment="1">
      <alignment horizontal="center"/>
    </xf>
    <xf numFmtId="1" fontId="10" fillId="2" borderId="0" xfId="2" applyNumberFormat="1" applyFont="1" applyFill="1" applyBorder="1" applyAlignment="1">
      <alignment horizontal="center"/>
    </xf>
    <xf numFmtId="166" fontId="10" fillId="2" borderId="3" xfId="2" applyNumberFormat="1" applyFont="1" applyFill="1" applyBorder="1" applyAlignment="1">
      <alignment horizontal="center"/>
    </xf>
    <xf numFmtId="166" fontId="5" fillId="5" borderId="1" xfId="2" applyNumberFormat="1" applyFont="1" applyFill="1" applyBorder="1" applyAlignment="1">
      <alignment horizontal="center"/>
    </xf>
    <xf numFmtId="0" fontId="10" fillId="5" borderId="1" xfId="2" applyFont="1" applyFill="1" applyBorder="1"/>
    <xf numFmtId="0" fontId="10" fillId="5" borderId="1" xfId="2" applyFont="1" applyFill="1" applyBorder="1" applyAlignment="1">
      <alignment horizontal="center"/>
    </xf>
    <xf numFmtId="1" fontId="10" fillId="5" borderId="1" xfId="2" applyNumberFormat="1" applyFont="1" applyFill="1" applyBorder="1" applyAlignment="1">
      <alignment horizontal="center"/>
    </xf>
    <xf numFmtId="44" fontId="10" fillId="5" borderId="1" xfId="2" applyNumberFormat="1" applyFont="1" applyFill="1" applyBorder="1" applyAlignment="1">
      <alignment horizontal="center"/>
    </xf>
    <xf numFmtId="44" fontId="10" fillId="5" borderId="13" xfId="2" applyNumberFormat="1" applyFont="1" applyFill="1" applyBorder="1" applyAlignment="1">
      <alignment horizontal="center"/>
    </xf>
    <xf numFmtId="44" fontId="10" fillId="5" borderId="4" xfId="2" applyNumberFormat="1" applyFont="1" applyFill="1" applyBorder="1" applyAlignment="1">
      <alignment horizontal="center"/>
    </xf>
    <xf numFmtId="166" fontId="10" fillId="5" borderId="4" xfId="2" applyNumberFormat="1" applyFont="1" applyFill="1" applyBorder="1" applyAlignment="1">
      <alignment horizontal="center"/>
    </xf>
    <xf numFmtId="0" fontId="5" fillId="2" borderId="1" xfId="2" applyFont="1" applyFill="1" applyBorder="1"/>
    <xf numFmtId="0" fontId="5" fillId="10" borderId="8" xfId="2" applyFont="1" applyFill="1" applyBorder="1" applyAlignment="1">
      <alignment horizontal="center"/>
    </xf>
    <xf numFmtId="1" fontId="15" fillId="10" borderId="0" xfId="0" applyNumberFormat="1" applyFont="1" applyFill="1" applyAlignment="1">
      <alignment horizontal="left"/>
    </xf>
    <xf numFmtId="0" fontId="5" fillId="10" borderId="8" xfId="2" applyFont="1" applyFill="1" applyBorder="1"/>
    <xf numFmtId="0" fontId="5" fillId="10" borderId="0" xfId="2" applyFont="1" applyFill="1" applyBorder="1" applyAlignment="1">
      <alignment horizontal="center"/>
    </xf>
    <xf numFmtId="166" fontId="5" fillId="10" borderId="0" xfId="2" applyNumberFormat="1" applyFont="1" applyFill="1" applyAlignment="1">
      <alignment horizontal="center"/>
    </xf>
    <xf numFmtId="166" fontId="5" fillId="10" borderId="12" xfId="2" applyNumberFormat="1" applyFont="1" applyFill="1" applyBorder="1" applyAlignment="1">
      <alignment horizontal="center"/>
    </xf>
    <xf numFmtId="166" fontId="5" fillId="10" borderId="3" xfId="2" applyNumberFormat="1" applyFont="1" applyFill="1" applyBorder="1" applyAlignment="1">
      <alignment horizontal="center"/>
    </xf>
    <xf numFmtId="0" fontId="5" fillId="10" borderId="0" xfId="2" applyFont="1" applyFill="1" applyBorder="1"/>
    <xf numFmtId="0" fontId="5" fillId="10" borderId="0" xfId="2" applyNumberFormat="1" applyFont="1" applyFill="1" applyAlignment="1">
      <alignment horizontal="center"/>
    </xf>
    <xf numFmtId="0" fontId="5" fillId="0" borderId="0" xfId="0" applyFont="1" applyAlignment="1">
      <alignment horizontal="center"/>
    </xf>
    <xf numFmtId="1" fontId="5" fillId="0" borderId="0" xfId="0" applyNumberFormat="1" applyFont="1" applyAlignment="1">
      <alignment horizontal="center"/>
    </xf>
    <xf numFmtId="44" fontId="5" fillId="0" borderId="0" xfId="0" applyNumberFormat="1" applyFont="1" applyAlignment="1">
      <alignment horizontal="center"/>
    </xf>
    <xf numFmtId="44" fontId="10" fillId="0" borderId="0" xfId="0" applyNumberFormat="1" applyFont="1"/>
    <xf numFmtId="164" fontId="5" fillId="4" borderId="0" xfId="0" applyNumberFormat="1" applyFont="1" applyFill="1" applyAlignment="1">
      <alignment horizontal="center"/>
    </xf>
    <xf numFmtId="164" fontId="10" fillId="3" borderId="12" xfId="0" applyNumberFormat="1" applyFont="1" applyFill="1" applyBorder="1" applyAlignment="1">
      <alignment horizontal="left"/>
    </xf>
    <xf numFmtId="164" fontId="10" fillId="3" borderId="0" xfId="0" applyNumberFormat="1" applyFont="1" applyFill="1" applyBorder="1" applyAlignment="1">
      <alignment horizontal="center"/>
    </xf>
    <xf numFmtId="1" fontId="10" fillId="3" borderId="0" xfId="0" applyNumberFormat="1" applyFont="1" applyFill="1" applyBorder="1" applyAlignment="1">
      <alignment horizontal="center"/>
    </xf>
    <xf numFmtId="164" fontId="47" fillId="3" borderId="3" xfId="0" applyNumberFormat="1" applyFont="1" applyFill="1" applyBorder="1" applyAlignment="1">
      <alignment horizontal="center"/>
    </xf>
    <xf numFmtId="164" fontId="10" fillId="3" borderId="13" xfId="0" applyNumberFormat="1" applyFont="1" applyFill="1" applyBorder="1" applyAlignment="1">
      <alignment horizontal="left"/>
    </xf>
    <xf numFmtId="164" fontId="10" fillId="3" borderId="1" xfId="0" applyNumberFormat="1" applyFont="1" applyFill="1" applyBorder="1" applyAlignment="1">
      <alignment horizontal="center"/>
    </xf>
    <xf numFmtId="164" fontId="5" fillId="3" borderId="4" xfId="0" applyNumberFormat="1" applyFont="1" applyFill="1" applyBorder="1" applyAlignment="1">
      <alignment horizontal="center"/>
    </xf>
    <xf numFmtId="0" fontId="10" fillId="7" borderId="12" xfId="0" applyFont="1" applyFill="1" applyBorder="1"/>
    <xf numFmtId="0" fontId="5" fillId="7" borderId="0" xfId="0" applyFont="1" applyFill="1" applyBorder="1" applyAlignment="1">
      <alignment horizontal="center"/>
    </xf>
    <xf numFmtId="0" fontId="5" fillId="7" borderId="0" xfId="0" applyFont="1" applyFill="1" applyBorder="1"/>
    <xf numFmtId="0" fontId="5" fillId="7" borderId="3" xfId="0" applyFont="1" applyFill="1" applyBorder="1"/>
    <xf numFmtId="0" fontId="5" fillId="7" borderId="12" xfId="0" applyFont="1" applyFill="1" applyBorder="1"/>
    <xf numFmtId="164" fontId="47" fillId="7" borderId="3" xfId="0" applyNumberFormat="1" applyFont="1" applyFill="1" applyBorder="1" applyAlignment="1">
      <alignment horizontal="center"/>
    </xf>
    <xf numFmtId="164" fontId="5" fillId="7" borderId="0" xfId="0" applyNumberFormat="1" applyFont="1" applyFill="1" applyBorder="1" applyAlignment="1">
      <alignment horizontal="center"/>
    </xf>
    <xf numFmtId="164" fontId="5" fillId="7" borderId="3" xfId="0" applyNumberFormat="1" applyFont="1" applyFill="1" applyBorder="1" applyAlignment="1">
      <alignment horizontal="center"/>
    </xf>
    <xf numFmtId="0" fontId="5" fillId="7" borderId="13" xfId="0" applyFont="1" applyFill="1" applyBorder="1"/>
    <xf numFmtId="0" fontId="5" fillId="7" borderId="1" xfId="0" applyFont="1" applyFill="1" applyBorder="1" applyAlignment="1">
      <alignment horizontal="center"/>
    </xf>
    <xf numFmtId="164" fontId="5" fillId="7" borderId="4" xfId="0" applyNumberFormat="1" applyFont="1" applyFill="1" applyBorder="1" applyAlignment="1">
      <alignment horizontal="center"/>
    </xf>
    <xf numFmtId="0" fontId="5" fillId="7" borderId="0" xfId="0" applyFont="1" applyFill="1" applyBorder="1" applyAlignment="1">
      <alignment horizontal="right"/>
    </xf>
    <xf numFmtId="10" fontId="24" fillId="0" borderId="0" xfId="3" applyNumberFormat="1" applyFont="1" applyFill="1" applyBorder="1" applyAlignment="1">
      <alignment horizontal="center"/>
    </xf>
    <xf numFmtId="10" fontId="24" fillId="0" borderId="1" xfId="3" applyNumberFormat="1" applyFont="1" applyFill="1" applyBorder="1" applyAlignment="1">
      <alignment horizontal="center"/>
    </xf>
    <xf numFmtId="0" fontId="11" fillId="0" borderId="0" xfId="1" applyFont="1" applyAlignment="1" applyProtection="1"/>
    <xf numFmtId="0" fontId="12" fillId="8" borderId="0" xfId="0" applyFont="1" applyFill="1" applyBorder="1" applyAlignment="1">
      <alignment vertical="center"/>
    </xf>
    <xf numFmtId="166" fontId="10" fillId="10" borderId="3" xfId="2" applyNumberFormat="1" applyFont="1" applyFill="1" applyBorder="1" applyAlignment="1">
      <alignment horizontal="center"/>
    </xf>
    <xf numFmtId="0" fontId="48" fillId="8" borderId="0" xfId="0" applyFont="1" applyFill="1"/>
    <xf numFmtId="0" fontId="5" fillId="7" borderId="7" xfId="0" applyFont="1" applyFill="1" applyBorder="1"/>
    <xf numFmtId="0" fontId="5" fillId="7" borderId="7" xfId="0" applyFont="1" applyFill="1" applyBorder="1" applyAlignment="1">
      <alignment horizontal="center"/>
    </xf>
    <xf numFmtId="0" fontId="5" fillId="7" borderId="7" xfId="0" applyFont="1" applyFill="1" applyBorder="1" applyAlignment="1">
      <alignment horizontal="right"/>
    </xf>
    <xf numFmtId="3" fontId="5" fillId="7" borderId="7" xfId="0" applyNumberFormat="1" applyFont="1" applyFill="1" applyBorder="1" applyAlignment="1">
      <alignment horizontal="right"/>
    </xf>
    <xf numFmtId="0" fontId="5" fillId="7" borderId="6" xfId="0" applyFont="1" applyFill="1" applyBorder="1" applyAlignment="1"/>
    <xf numFmtId="0" fontId="5" fillId="7" borderId="6" xfId="0" applyFont="1" applyFill="1" applyBorder="1" applyAlignment="1">
      <alignment horizontal="center"/>
    </xf>
    <xf numFmtId="0" fontId="5" fillId="10" borderId="6" xfId="0" applyFont="1" applyFill="1" applyBorder="1" applyAlignment="1">
      <alignment horizontal="right"/>
    </xf>
    <xf numFmtId="1" fontId="5" fillId="7" borderId="6" xfId="0" applyNumberFormat="1" applyFont="1" applyFill="1" applyBorder="1" applyAlignment="1">
      <alignment horizontal="right"/>
    </xf>
    <xf numFmtId="0" fontId="16" fillId="7" borderId="10" xfId="0" applyFont="1" applyFill="1" applyBorder="1" applyAlignment="1"/>
    <xf numFmtId="0" fontId="5" fillId="7" borderId="2" xfId="0" applyFont="1" applyFill="1" applyBorder="1" applyAlignment="1"/>
    <xf numFmtId="0" fontId="10" fillId="7" borderId="2" xfId="0" applyFont="1" applyFill="1" applyBorder="1" applyAlignment="1"/>
    <xf numFmtId="0" fontId="10" fillId="7" borderId="2" xfId="4" applyNumberFormat="1" applyFont="1" applyFill="1" applyBorder="1" applyAlignment="1">
      <alignment horizontal="right"/>
    </xf>
    <xf numFmtId="0" fontId="10" fillId="7" borderId="11" xfId="0" applyFont="1" applyFill="1" applyBorder="1" applyAlignment="1"/>
    <xf numFmtId="167" fontId="5" fillId="7" borderId="9" xfId="4" applyNumberFormat="1" applyFont="1" applyFill="1" applyBorder="1"/>
    <xf numFmtId="167" fontId="5" fillId="7" borderId="7" xfId="4" applyNumberFormat="1" applyFont="1" applyFill="1" applyBorder="1"/>
    <xf numFmtId="167" fontId="5" fillId="7" borderId="6" xfId="4" applyNumberFormat="1" applyFont="1" applyFill="1" applyBorder="1" applyAlignment="1"/>
    <xf numFmtId="167" fontId="5" fillId="7" borderId="9" xfId="4" applyNumberFormat="1" applyFont="1" applyFill="1" applyBorder="1" applyAlignment="1"/>
    <xf numFmtId="167" fontId="5" fillId="7" borderId="9" xfId="4" applyNumberFormat="1" applyFont="1" applyFill="1" applyBorder="1" applyAlignment="1">
      <alignment horizontal="right"/>
    </xf>
    <xf numFmtId="167" fontId="5" fillId="7" borderId="7" xfId="4" applyNumberFormat="1" applyFont="1" applyFill="1" applyBorder="1" applyAlignment="1">
      <alignment horizontal="right"/>
    </xf>
    <xf numFmtId="167" fontId="5" fillId="7" borderId="6" xfId="4" applyNumberFormat="1" applyFont="1" applyFill="1" applyBorder="1" applyAlignment="1">
      <alignment horizontal="right"/>
    </xf>
    <xf numFmtId="165" fontId="5" fillId="7" borderId="9" xfId="0" applyNumberFormat="1" applyFont="1" applyFill="1" applyBorder="1" applyAlignment="1">
      <alignment horizontal="right"/>
    </xf>
    <xf numFmtId="0" fontId="10" fillId="10" borderId="6" xfId="0" applyFont="1" applyFill="1" applyBorder="1" applyAlignment="1">
      <alignment horizontal="center" wrapText="1"/>
    </xf>
    <xf numFmtId="0" fontId="15" fillId="10" borderId="2" xfId="0" applyFont="1" applyFill="1" applyBorder="1" applyAlignment="1">
      <alignment horizontal="left"/>
    </xf>
    <xf numFmtId="0" fontId="15" fillId="11" borderId="2" xfId="0" applyFont="1" applyFill="1" applyBorder="1" applyAlignment="1">
      <alignment horizontal="left"/>
    </xf>
    <xf numFmtId="0" fontId="0" fillId="10" borderId="15" xfId="0" applyFill="1" applyBorder="1"/>
    <xf numFmtId="0" fontId="0" fillId="10" borderId="15" xfId="0" applyFill="1" applyBorder="1" applyAlignment="1">
      <alignment horizontal="left"/>
    </xf>
    <xf numFmtId="0" fontId="15" fillId="10" borderId="0" xfId="0" applyFont="1" applyFill="1" applyBorder="1" applyAlignment="1">
      <alignment horizontal="left"/>
    </xf>
    <xf numFmtId="0" fontId="5" fillId="11" borderId="15" xfId="0" applyFont="1" applyFill="1" applyBorder="1"/>
    <xf numFmtId="1" fontId="37" fillId="0" borderId="10" xfId="0" applyNumberFormat="1" applyFont="1" applyFill="1" applyBorder="1" applyAlignment="1">
      <alignment horizontal="center" wrapText="1"/>
    </xf>
    <xf numFmtId="0" fontId="0" fillId="10" borderId="2" xfId="0" applyFill="1" applyBorder="1" applyAlignment="1">
      <alignment horizontal="center" wrapText="1"/>
    </xf>
    <xf numFmtId="0" fontId="32" fillId="10" borderId="2"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44" fontId="33" fillId="10" borderId="6" xfId="6" applyNumberFormat="1" applyFont="1" applyFill="1" applyBorder="1" applyAlignment="1">
      <alignment horizontal="right"/>
    </xf>
    <xf numFmtId="0" fontId="10" fillId="11" borderId="2" xfId="0" applyFont="1" applyFill="1" applyBorder="1"/>
    <xf numFmtId="44" fontId="33" fillId="11" borderId="6" xfId="6" applyNumberFormat="1" applyFont="1" applyFill="1" applyBorder="1" applyAlignment="1">
      <alignment horizontal="right"/>
    </xf>
    <xf numFmtId="44" fontId="33" fillId="10" borderId="6" xfId="7" applyNumberFormat="1" applyFont="1" applyFill="1" applyBorder="1" applyAlignment="1">
      <alignment horizontal="right"/>
    </xf>
    <xf numFmtId="44" fontId="33" fillId="10" borderId="9" xfId="7" applyNumberFormat="1" applyFont="1" applyFill="1" applyBorder="1" applyAlignment="1">
      <alignment horizontal="right"/>
    </xf>
    <xf numFmtId="44" fontId="33" fillId="11" borderId="9" xfId="7" applyNumberFormat="1" applyFont="1" applyFill="1" applyBorder="1" applyAlignment="1">
      <alignment horizontal="right"/>
    </xf>
    <xf numFmtId="0" fontId="10" fillId="10" borderId="17" xfId="5" applyNumberFormat="1" applyFont="1" applyFill="1" applyBorder="1"/>
    <xf numFmtId="1" fontId="24" fillId="8" borderId="9" xfId="0" applyNumberFormat="1" applyFont="1" applyFill="1" applyBorder="1" applyAlignment="1">
      <alignment horizontal="left"/>
    </xf>
    <xf numFmtId="2" fontId="0" fillId="8" borderId="0" xfId="0" applyNumberFormat="1" applyFill="1"/>
    <xf numFmtId="2" fontId="15" fillId="8" borderId="0" xfId="0" applyNumberFormat="1" applyFont="1" applyFill="1"/>
    <xf numFmtId="0" fontId="5" fillId="10" borderId="7" xfId="0" applyFont="1" applyFill="1" applyBorder="1" applyAlignment="1">
      <alignment horizontal="center" wrapText="1"/>
    </xf>
    <xf numFmtId="0" fontId="10" fillId="10" borderId="6" xfId="0" applyFont="1" applyFill="1" applyBorder="1" applyAlignment="1">
      <alignment horizontal="center" wrapText="1"/>
    </xf>
    <xf numFmtId="0" fontId="0" fillId="10" borderId="15" xfId="0" applyFill="1" applyBorder="1" applyAlignment="1">
      <alignment horizontal="left"/>
    </xf>
    <xf numFmtId="0" fontId="6" fillId="8" borderId="0" xfId="0" applyFont="1" applyFill="1" applyBorder="1" applyAlignment="1" applyProtection="1">
      <alignment horizontal="left" wrapText="1"/>
      <protection locked="0"/>
    </xf>
    <xf numFmtId="164" fontId="10" fillId="8" borderId="0" xfId="0" applyNumberFormat="1" applyFont="1" applyFill="1" applyAlignment="1">
      <alignment horizontal="left"/>
    </xf>
    <xf numFmtId="0" fontId="42" fillId="10" borderId="1" xfId="0" applyFont="1" applyFill="1" applyBorder="1" applyAlignment="1">
      <alignment horizontal="left"/>
    </xf>
    <xf numFmtId="0" fontId="0" fillId="0" borderId="0" xfId="0" applyAlignment="1" applyProtection="1">
      <alignment horizontal="left"/>
      <protection locked="0"/>
    </xf>
    <xf numFmtId="0" fontId="10" fillId="10" borderId="1" xfId="0" applyFont="1" applyFill="1" applyBorder="1" applyAlignment="1" applyProtection="1">
      <alignment horizontal="left"/>
      <protection locked="0"/>
    </xf>
    <xf numFmtId="0" fontId="16" fillId="10" borderId="1" xfId="0" applyFont="1" applyFill="1" applyBorder="1" applyAlignment="1" applyProtection="1">
      <alignment horizontal="right"/>
      <protection locked="0"/>
    </xf>
    <xf numFmtId="2" fontId="25" fillId="0" borderId="0" xfId="0" applyNumberFormat="1" applyFont="1" applyFill="1" applyBorder="1" applyAlignment="1" applyProtection="1">
      <alignment horizontal="center"/>
    </xf>
    <xf numFmtId="2" fontId="24" fillId="8" borderId="0" xfId="0" applyNumberFormat="1" applyFont="1" applyFill="1" applyBorder="1" applyAlignment="1">
      <alignment horizontal="center"/>
    </xf>
    <xf numFmtId="164" fontId="0" fillId="4" borderId="0" xfId="0" applyNumberFormat="1" applyFill="1" applyBorder="1"/>
    <xf numFmtId="0" fontId="5" fillId="3" borderId="2" xfId="1" applyFont="1" applyFill="1" applyBorder="1" applyAlignment="1" applyProtection="1"/>
    <xf numFmtId="0" fontId="0" fillId="10" borderId="6" xfId="0" applyFill="1" applyBorder="1"/>
    <xf numFmtId="0" fontId="0" fillId="10" borderId="12" xfId="0" applyFill="1" applyBorder="1"/>
    <xf numFmtId="0" fontId="12" fillId="8" borderId="0" xfId="8" applyFont="1" applyFill="1" applyBorder="1" applyAlignment="1">
      <alignment horizontal="left"/>
    </xf>
    <xf numFmtId="0" fontId="12" fillId="8" borderId="0" xfId="8" applyFont="1" applyFill="1" applyBorder="1" applyAlignment="1"/>
    <xf numFmtId="0" fontId="19" fillId="8" borderId="0" xfId="8" applyFont="1" applyFill="1" applyBorder="1" applyAlignment="1">
      <alignment horizontal="right"/>
    </xf>
    <xf numFmtId="0" fontId="12" fillId="8" borderId="1" xfId="8" applyFont="1" applyFill="1" applyBorder="1" applyAlignment="1">
      <alignment horizontal="left"/>
    </xf>
    <xf numFmtId="0" fontId="12" fillId="8" borderId="1" xfId="8" applyFont="1" applyFill="1" applyBorder="1" applyAlignment="1"/>
    <xf numFmtId="0" fontId="19" fillId="8" borderId="1" xfId="8" applyFont="1" applyFill="1" applyBorder="1" applyAlignment="1">
      <alignment horizontal="right"/>
    </xf>
    <xf numFmtId="0" fontId="0" fillId="2" borderId="0" xfId="0" applyFill="1" applyAlignment="1">
      <alignment horizontal="left"/>
    </xf>
    <xf numFmtId="0" fontId="0" fillId="2" borderId="0" xfId="0" applyFill="1" applyBorder="1" applyAlignment="1">
      <alignment horizontal="left"/>
    </xf>
    <xf numFmtId="0" fontId="8" fillId="2" borderId="0" xfId="0" applyFont="1" applyFill="1" applyAlignment="1">
      <alignment horizontal="left"/>
    </xf>
    <xf numFmtId="0" fontId="5" fillId="11" borderId="0" xfId="2" applyFill="1" applyBorder="1" applyAlignment="1"/>
    <xf numFmtId="1" fontId="5" fillId="11" borderId="0" xfId="2" applyNumberFormat="1" applyFill="1" applyBorder="1" applyAlignment="1">
      <alignment horizontal="center"/>
    </xf>
    <xf numFmtId="1" fontId="5" fillId="11" borderId="1" xfId="2" applyNumberFormat="1" applyFont="1" applyFill="1" applyBorder="1" applyAlignment="1">
      <alignment horizontal="center"/>
    </xf>
    <xf numFmtId="0" fontId="5" fillId="11" borderId="1" xfId="2" applyFont="1" applyFill="1" applyBorder="1" applyAlignment="1"/>
    <xf numFmtId="0" fontId="5" fillId="4" borderId="0" xfId="2" applyFill="1" applyAlignment="1"/>
    <xf numFmtId="0" fontId="5" fillId="0" borderId="0" xfId="2" applyAlignment="1"/>
    <xf numFmtId="1" fontId="5" fillId="11" borderId="1" xfId="2" applyNumberFormat="1" applyFill="1" applyBorder="1" applyAlignment="1">
      <alignment horizontal="center"/>
    </xf>
    <xf numFmtId="14" fontId="0" fillId="8" borderId="0" xfId="0" applyNumberFormat="1" applyFill="1"/>
    <xf numFmtId="14" fontId="5" fillId="4" borderId="0" xfId="2" applyNumberFormat="1" applyFill="1"/>
    <xf numFmtId="14" fontId="5" fillId="0" borderId="0" xfId="2" applyNumberFormat="1" applyFill="1"/>
    <xf numFmtId="14" fontId="5" fillId="4" borderId="0" xfId="0" applyNumberFormat="1" applyFont="1" applyFill="1"/>
    <xf numFmtId="0" fontId="51" fillId="8" borderId="0" xfId="0" applyFont="1" applyFill="1"/>
    <xf numFmtId="0" fontId="51" fillId="0" borderId="0" xfId="0" applyFont="1"/>
    <xf numFmtId="0" fontId="44" fillId="8" borderId="0" xfId="0" applyFont="1" applyFill="1"/>
    <xf numFmtId="0" fontId="44" fillId="0" borderId="0" xfId="0" applyFont="1"/>
    <xf numFmtId="9" fontId="5" fillId="4" borderId="0" xfId="2" applyNumberFormat="1" applyFill="1"/>
    <xf numFmtId="0" fontId="5" fillId="11" borderId="0" xfId="2" applyFont="1" applyFill="1" applyBorder="1" applyAlignment="1"/>
    <xf numFmtId="1" fontId="5" fillId="11" borderId="0" xfId="2" applyNumberFormat="1" applyFont="1" applyFill="1" applyBorder="1" applyAlignment="1">
      <alignment horizontal="center"/>
    </xf>
    <xf numFmtId="0" fontId="5" fillId="11" borderId="8" xfId="2" applyFill="1" applyBorder="1" applyAlignment="1"/>
    <xf numFmtId="1" fontId="5" fillId="11" borderId="8" xfId="2" applyNumberFormat="1" applyFill="1" applyBorder="1" applyAlignment="1">
      <alignment horizontal="center"/>
    </xf>
    <xf numFmtId="14" fontId="36" fillId="0" borderId="0" xfId="2" applyNumberFormat="1" applyFont="1" applyFill="1" applyAlignment="1">
      <alignment horizontal="left"/>
    </xf>
    <xf numFmtId="14" fontId="12" fillId="0" borderId="1" xfId="2" applyNumberFormat="1" applyFont="1" applyFill="1" applyBorder="1" applyAlignment="1">
      <alignment horizontal="left" wrapText="1"/>
    </xf>
    <xf numFmtId="14" fontId="12" fillId="0" borderId="1" xfId="2" applyNumberFormat="1" applyFont="1" applyFill="1" applyBorder="1" applyAlignment="1">
      <alignment horizontal="left"/>
    </xf>
    <xf numFmtId="0" fontId="6" fillId="0" borderId="0" xfId="2" applyFont="1" applyFill="1"/>
    <xf numFmtId="14" fontId="6" fillId="0" borderId="0" xfId="2" applyNumberFormat="1" applyFont="1" applyFill="1" applyAlignment="1">
      <alignment horizontal="left"/>
    </xf>
    <xf numFmtId="0" fontId="6" fillId="0" borderId="0" xfId="2" applyFont="1" applyFill="1" applyBorder="1"/>
    <xf numFmtId="1" fontId="6" fillId="0" borderId="0" xfId="2" applyNumberFormat="1" applyFont="1" applyFill="1" applyBorder="1" applyAlignment="1">
      <alignment horizontal="center" vertical="center"/>
    </xf>
    <xf numFmtId="0" fontId="6" fillId="0" borderId="1" xfId="2" applyFont="1" applyFill="1" applyBorder="1" applyAlignment="1"/>
    <xf numFmtId="14" fontId="6" fillId="0" borderId="1" xfId="2" applyNumberFormat="1" applyFont="1" applyFill="1" applyBorder="1" applyAlignment="1">
      <alignment horizontal="left"/>
    </xf>
    <xf numFmtId="14" fontId="6" fillId="0" borderId="0" xfId="2" applyNumberFormat="1" applyFont="1" applyFill="1" applyBorder="1" applyAlignment="1">
      <alignment horizontal="left"/>
    </xf>
    <xf numFmtId="0" fontId="10" fillId="7" borderId="9" xfId="0" applyFont="1" applyFill="1" applyBorder="1" applyAlignment="1">
      <alignment horizontal="right"/>
    </xf>
    <xf numFmtId="3" fontId="5" fillId="10" borderId="6" xfId="0" applyNumberFormat="1" applyFont="1" applyFill="1" applyBorder="1" applyAlignment="1">
      <alignment horizontal="right"/>
    </xf>
    <xf numFmtId="0" fontId="5" fillId="11" borderId="1" xfId="2" applyFill="1" applyBorder="1" applyAlignment="1"/>
    <xf numFmtId="0" fontId="0" fillId="8" borderId="0" xfId="0" applyFill="1" applyAlignment="1">
      <alignment horizontal="right"/>
    </xf>
    <xf numFmtId="0" fontId="0" fillId="8" borderId="0" xfId="0" applyFill="1"/>
    <xf numFmtId="0" fontId="5" fillId="8" borderId="0" xfId="0" applyFont="1" applyFill="1"/>
    <xf numFmtId="0" fontId="5" fillId="7" borderId="9" xfId="0" applyFont="1" applyFill="1" applyBorder="1" applyAlignment="1"/>
    <xf numFmtId="0" fontId="5" fillId="7" borderId="9" xfId="0" applyFont="1" applyFill="1" applyBorder="1"/>
    <xf numFmtId="0" fontId="5" fillId="7" borderId="9" xfId="0" applyFont="1" applyFill="1" applyBorder="1" applyAlignment="1">
      <alignment horizontal="center"/>
    </xf>
    <xf numFmtId="0" fontId="5" fillId="7" borderId="9" xfId="0" applyFont="1" applyFill="1" applyBorder="1" applyAlignment="1">
      <alignment horizontal="right"/>
    </xf>
    <xf numFmtId="3" fontId="5" fillId="7" borderId="9" xfId="0" applyNumberFormat="1" applyFont="1" applyFill="1" applyBorder="1" applyAlignment="1">
      <alignment horizontal="right"/>
    </xf>
    <xf numFmtId="0" fontId="5" fillId="0" borderId="0" xfId="2"/>
    <xf numFmtId="0" fontId="5" fillId="4" borderId="0" xfId="2" applyFill="1"/>
    <xf numFmtId="14" fontId="6" fillId="7" borderId="2" xfId="2" applyNumberFormat="1" applyFont="1" applyFill="1" applyBorder="1" applyAlignment="1">
      <alignment horizontal="left"/>
    </xf>
    <xf numFmtId="0" fontId="6" fillId="7" borderId="2" xfId="2" applyFont="1" applyFill="1" applyBorder="1"/>
    <xf numFmtId="0" fontId="5" fillId="0" borderId="0" xfId="2" applyFill="1"/>
    <xf numFmtId="14" fontId="5" fillId="11" borderId="0" xfId="2" applyNumberFormat="1" applyFill="1" applyBorder="1" applyAlignment="1">
      <alignment horizontal="left"/>
    </xf>
    <xf numFmtId="14" fontId="5" fillId="11" borderId="0" xfId="2" applyNumberFormat="1" applyFont="1" applyFill="1" applyBorder="1" applyAlignment="1">
      <alignment horizontal="left"/>
    </xf>
    <xf numFmtId="14" fontId="5" fillId="11" borderId="8" xfId="2" applyNumberFormat="1" applyFill="1" applyBorder="1" applyAlignment="1">
      <alignment horizontal="left"/>
    </xf>
    <xf numFmtId="14" fontId="5" fillId="11" borderId="1" xfId="2" applyNumberFormat="1" applyFont="1" applyFill="1" applyBorder="1" applyAlignment="1">
      <alignment horizontal="left"/>
    </xf>
    <xf numFmtId="0" fontId="5" fillId="10" borderId="9" xfId="0" applyFont="1" applyFill="1" applyBorder="1" applyAlignment="1">
      <alignment horizontal="right"/>
    </xf>
    <xf numFmtId="1" fontId="0" fillId="8" borderId="0" xfId="0" applyNumberFormat="1" applyFill="1"/>
    <xf numFmtId="0" fontId="53" fillId="0" borderId="0" xfId="2" applyFont="1" applyFill="1"/>
    <xf numFmtId="0" fontId="52" fillId="0" borderId="0" xfId="2" applyFont="1" applyFill="1"/>
    <xf numFmtId="9" fontId="53" fillId="0" borderId="0" xfId="2" applyNumberFormat="1" applyFont="1" applyFill="1"/>
    <xf numFmtId="0" fontId="49" fillId="4" borderId="0" xfId="2" applyFont="1" applyFill="1"/>
    <xf numFmtId="0" fontId="53" fillId="0" borderId="0" xfId="2" applyFont="1" applyFill="1" applyAlignment="1"/>
    <xf numFmtId="0" fontId="53" fillId="0" borderId="0" xfId="2" applyFont="1" applyFill="1" applyAlignment="1">
      <alignment wrapText="1"/>
    </xf>
    <xf numFmtId="0" fontId="53" fillId="4" borderId="0" xfId="2" applyFont="1" applyFill="1"/>
    <xf numFmtId="0" fontId="49" fillId="4" borderId="0" xfId="2" applyFont="1" applyFill="1" applyAlignment="1">
      <alignment vertical="center"/>
    </xf>
    <xf numFmtId="0" fontId="53" fillId="0" borderId="0" xfId="2" applyFont="1" applyFill="1" applyAlignment="1">
      <alignment vertical="center"/>
    </xf>
    <xf numFmtId="0" fontId="52" fillId="0" borderId="0" xfId="2" applyFont="1" applyFill="1" applyAlignment="1">
      <alignment vertical="center"/>
    </xf>
    <xf numFmtId="9" fontId="53" fillId="0" borderId="0" xfId="2" applyNumberFormat="1" applyFont="1" applyFill="1" applyAlignment="1">
      <alignment vertical="center"/>
    </xf>
    <xf numFmtId="0" fontId="53" fillId="0" borderId="0" xfId="2" applyFont="1" applyFill="1" applyAlignment="1">
      <alignment vertic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17" fillId="0" borderId="8" xfId="2" applyFont="1" applyFill="1" applyBorder="1" applyAlignment="1">
      <alignment vertical="top" wrapText="1"/>
    </xf>
    <xf numFmtId="0" fontId="17" fillId="0" borderId="0" xfId="2" applyFont="1" applyFill="1" applyAlignment="1">
      <alignment vertical="top" wrapText="1"/>
    </xf>
    <xf numFmtId="0" fontId="5" fillId="10" borderId="10" xfId="0" applyFont="1" applyFill="1" applyBorder="1" applyAlignment="1">
      <alignment horizontal="left"/>
    </xf>
    <xf numFmtId="0" fontId="46" fillId="10" borderId="8" xfId="0" applyFont="1" applyFill="1" applyBorder="1" applyAlignment="1"/>
    <xf numFmtId="0" fontId="45" fillId="10" borderId="0" xfId="1" applyFont="1" applyFill="1" applyBorder="1" applyAlignment="1" applyProtection="1">
      <alignment horizontal="center"/>
      <protection locked="0"/>
    </xf>
    <xf numFmtId="0" fontId="40" fillId="10" borderId="0" xfId="0" applyFont="1" applyFill="1" applyBorder="1" applyAlignment="1">
      <alignment horizontal="left"/>
    </xf>
    <xf numFmtId="2" fontId="16" fillId="8" borderId="0" xfId="0" applyNumberFormat="1" applyFont="1" applyFill="1"/>
    <xf numFmtId="0" fontId="54" fillId="8" borderId="0" xfId="0" applyFont="1" applyFill="1"/>
    <xf numFmtId="0" fontId="5" fillId="8" borderId="0" xfId="0" applyFont="1" applyFill="1" applyAlignment="1">
      <alignment horizontal="right"/>
    </xf>
    <xf numFmtId="0" fontId="16" fillId="7" borderId="9" xfId="0" applyFont="1" applyFill="1" applyBorder="1" applyAlignment="1"/>
    <xf numFmtId="44" fontId="0" fillId="8" borderId="0" xfId="0" applyNumberFormat="1" applyFill="1"/>
    <xf numFmtId="164" fontId="44" fillId="0" borderId="0" xfId="0" applyNumberFormat="1" applyFont="1" applyFill="1" applyAlignment="1" applyProtection="1">
      <alignment horizontal="center"/>
    </xf>
    <xf numFmtId="0" fontId="0" fillId="0" borderId="0" xfId="0" applyFill="1" applyAlignment="1">
      <alignment horizontal="center" vertical="center"/>
    </xf>
    <xf numFmtId="0" fontId="0" fillId="0" borderId="0" xfId="0"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10" fillId="2" borderId="1" xfId="0" applyFont="1" applyFill="1" applyBorder="1" applyAlignment="1">
      <alignment vertical="top"/>
    </xf>
    <xf numFmtId="0" fontId="10" fillId="2" borderId="1" xfId="0" applyFont="1" applyFill="1" applyBorder="1" applyAlignment="1">
      <alignment horizontal="center" vertical="top"/>
    </xf>
    <xf numFmtId="164" fontId="10" fillId="3" borderId="1" xfId="0" applyNumberFormat="1" applyFont="1" applyFill="1" applyBorder="1" applyAlignment="1">
      <alignment vertical="top"/>
    </xf>
    <xf numFmtId="166" fontId="24" fillId="8" borderId="0" xfId="0" applyNumberFormat="1" applyFont="1" applyFill="1" applyBorder="1" applyAlignment="1">
      <alignment horizontal="center"/>
    </xf>
    <xf numFmtId="0" fontId="55" fillId="10" borderId="0" xfId="0" applyFont="1" applyFill="1" applyBorder="1" applyAlignment="1">
      <alignment horizontal="right"/>
    </xf>
    <xf numFmtId="0" fontId="56" fillId="10" borderId="0" xfId="0" applyFont="1" applyFill="1" applyBorder="1" applyAlignment="1">
      <alignment horizontal="center"/>
    </xf>
    <xf numFmtId="1" fontId="57" fillId="10" borderId="0" xfId="0" applyNumberFormat="1" applyFont="1" applyFill="1" applyBorder="1" applyAlignment="1">
      <alignment horizontal="center"/>
    </xf>
    <xf numFmtId="164" fontId="57" fillId="10" borderId="0" xfId="0" applyNumberFormat="1" applyFont="1" applyFill="1" applyBorder="1" applyAlignment="1">
      <alignment horizontal="center"/>
    </xf>
    <xf numFmtId="166" fontId="55" fillId="10" borderId="0" xfId="0" applyNumberFormat="1" applyFont="1" applyFill="1" applyBorder="1" applyAlignment="1">
      <alignment horizontal="center"/>
    </xf>
    <xf numFmtId="166" fontId="55" fillId="10" borderId="12" xfId="0" applyNumberFormat="1" applyFont="1" applyFill="1" applyBorder="1" applyAlignment="1">
      <alignment horizontal="center"/>
    </xf>
    <xf numFmtId="166" fontId="55" fillId="10" borderId="3" xfId="0" applyNumberFormat="1" applyFont="1" applyFill="1" applyBorder="1" applyAlignment="1">
      <alignment horizontal="center"/>
    </xf>
    <xf numFmtId="0" fontId="11" fillId="8" borderId="0" xfId="1" applyFill="1" applyAlignment="1" applyProtection="1">
      <alignment vertical="top"/>
    </xf>
    <xf numFmtId="0" fontId="11" fillId="2" borderId="0" xfId="1" applyFill="1" applyAlignment="1" applyProtection="1"/>
    <xf numFmtId="0" fontId="5" fillId="3" borderId="10" xfId="1" applyFont="1" applyFill="1" applyBorder="1" applyAlignment="1" applyProtection="1"/>
    <xf numFmtId="164" fontId="5" fillId="0" borderId="0" xfId="0" applyNumberFormat="1" applyFont="1" applyFill="1" applyBorder="1" applyAlignment="1" applyProtection="1">
      <alignment horizontal="center"/>
    </xf>
    <xf numFmtId="0" fontId="5" fillId="8" borderId="0" xfId="0" applyFont="1" applyFill="1" applyAlignment="1">
      <alignment horizontal="center"/>
    </xf>
    <xf numFmtId="0" fontId="8" fillId="8" borderId="0" xfId="0" applyFont="1" applyFill="1"/>
    <xf numFmtId="0" fontId="5" fillId="8" borderId="0" xfId="0" applyFont="1" applyFill="1" applyAlignment="1">
      <alignment wrapText="1"/>
    </xf>
    <xf numFmtId="0" fontId="5" fillId="8" borderId="0" xfId="0" applyFont="1" applyFill="1" applyAlignment="1">
      <alignment vertical="top"/>
    </xf>
    <xf numFmtId="2" fontId="0" fillId="2" borderId="0" xfId="0" applyNumberFormat="1" applyFill="1" applyAlignment="1">
      <alignment horizontal="center" vertical="center"/>
    </xf>
    <xf numFmtId="2" fontId="0" fillId="2" borderId="0" xfId="0" applyNumberFormat="1" applyFill="1"/>
    <xf numFmtId="2" fontId="0" fillId="2" borderId="0" xfId="0" applyNumberFormat="1" applyFill="1" applyAlignment="1">
      <alignment horizontal="center"/>
    </xf>
    <xf numFmtId="0" fontId="12" fillId="8" borderId="0" xfId="2" applyFont="1" applyFill="1" applyAlignment="1"/>
    <xf numFmtId="0" fontId="58" fillId="8" borderId="0" xfId="2" applyFont="1" applyFill="1" applyAlignment="1">
      <alignment horizontal="center" wrapText="1"/>
    </xf>
    <xf numFmtId="0" fontId="5" fillId="8" borderId="0" xfId="2" applyFill="1" applyAlignment="1">
      <alignment textRotation="90"/>
    </xf>
    <xf numFmtId="0" fontId="5" fillId="8" borderId="0" xfId="2" applyFill="1" applyAlignment="1"/>
    <xf numFmtId="0" fontId="5" fillId="8" borderId="0" xfId="2" applyFill="1" applyAlignment="1">
      <alignment horizontal="center"/>
    </xf>
    <xf numFmtId="0" fontId="5" fillId="0" borderId="0" xfId="2" applyFont="1" applyFill="1" applyAlignment="1"/>
    <xf numFmtId="0" fontId="5" fillId="8" borderId="0" xfId="2" applyFont="1" applyFill="1" applyAlignment="1">
      <alignment horizontal="left"/>
    </xf>
    <xf numFmtId="0" fontId="59" fillId="8" borderId="0" xfId="2" applyFont="1" applyFill="1"/>
    <xf numFmtId="0" fontId="11" fillId="8" borderId="0" xfId="1" applyFill="1" applyAlignment="1" applyProtection="1">
      <alignment horizontal="left"/>
    </xf>
    <xf numFmtId="14" fontId="5" fillId="8" borderId="0" xfId="2" applyNumberFormat="1" applyFill="1"/>
    <xf numFmtId="0" fontId="5" fillId="8" borderId="0" xfId="2" applyFill="1" applyAlignment="1">
      <alignment horizontal="left"/>
    </xf>
    <xf numFmtId="0" fontId="5" fillId="8" borderId="0" xfId="2" applyFont="1" applyFill="1"/>
    <xf numFmtId="0" fontId="5" fillId="8" borderId="0" xfId="2" applyFont="1" applyFill="1" applyAlignment="1">
      <alignment horizontal="center"/>
    </xf>
    <xf numFmtId="0" fontId="11" fillId="8" borderId="0" xfId="1" applyFill="1" applyAlignment="1" applyProtection="1">
      <alignment horizontal="center"/>
    </xf>
    <xf numFmtId="0" fontId="5" fillId="8" borderId="0" xfId="2" applyFill="1" applyAlignment="1">
      <alignment vertical="top"/>
    </xf>
    <xf numFmtId="0" fontId="0" fillId="8" borderId="0" xfId="0" applyFill="1" applyAlignment="1">
      <alignment vertical="top"/>
    </xf>
    <xf numFmtId="0" fontId="5" fillId="8" borderId="0" xfId="2" applyFont="1" applyFill="1" applyAlignment="1">
      <alignment horizontal="left" vertical="top" wrapText="1"/>
    </xf>
    <xf numFmtId="0" fontId="5" fillId="8" borderId="0" xfId="2" applyFont="1" applyFill="1" applyAlignment="1">
      <alignment horizontal="left" vertical="top"/>
    </xf>
    <xf numFmtId="14" fontId="10" fillId="0" borderId="0" xfId="2" applyNumberFormat="1" applyFont="1" applyFill="1" applyAlignment="1">
      <alignment horizontal="left"/>
    </xf>
    <xf numFmtId="14" fontId="37" fillId="0" borderId="0" xfId="2" applyNumberFormat="1" applyFont="1" applyFill="1" applyAlignment="1">
      <alignment horizontal="left"/>
    </xf>
    <xf numFmtId="0" fontId="12" fillId="8" borderId="1" xfId="0" applyFont="1" applyFill="1" applyBorder="1" applyAlignment="1"/>
    <xf numFmtId="0" fontId="12" fillId="8" borderId="1" xfId="0" applyFont="1" applyFill="1" applyBorder="1" applyAlignment="1">
      <alignment horizontal="center"/>
    </xf>
    <xf numFmtId="0" fontId="19" fillId="8" borderId="1" xfId="8" applyFont="1" applyFill="1" applyBorder="1" applyAlignment="1"/>
    <xf numFmtId="0" fontId="19" fillId="8" borderId="0" xfId="8" applyFont="1" applyFill="1" applyBorder="1" applyAlignment="1"/>
    <xf numFmtId="0" fontId="61" fillId="8" borderId="0" xfId="0" applyFont="1" applyFill="1"/>
    <xf numFmtId="0" fontId="42" fillId="10" borderId="8" xfId="0" applyFont="1" applyFill="1" applyBorder="1" applyAlignment="1">
      <alignment horizontal="left"/>
    </xf>
    <xf numFmtId="0" fontId="10" fillId="10" borderId="0" xfId="0" applyFont="1" applyFill="1" applyBorder="1" applyAlignment="1" applyProtection="1">
      <alignment horizontal="left"/>
      <protection locked="0"/>
    </xf>
    <xf numFmtId="0" fontId="11" fillId="10" borderId="0" xfId="1" applyFill="1" applyBorder="1" applyAlignment="1" applyProtection="1">
      <alignment horizontal="center"/>
    </xf>
    <xf numFmtId="1" fontId="5" fillId="8" borderId="0" xfId="0" applyNumberFormat="1" applyFont="1" applyFill="1" applyAlignment="1">
      <alignment horizontal="center"/>
    </xf>
    <xf numFmtId="44" fontId="5" fillId="8" borderId="0" xfId="0" applyNumberFormat="1" applyFont="1" applyFill="1" applyAlignment="1">
      <alignment horizontal="center"/>
    </xf>
    <xf numFmtId="44" fontId="10" fillId="8" borderId="0" xfId="0" applyNumberFormat="1" applyFont="1" applyFill="1"/>
    <xf numFmtId="9" fontId="24" fillId="0" borderId="0" xfId="0" applyNumberFormat="1" applyFont="1" applyFill="1" applyAlignment="1">
      <alignment horizontal="center"/>
    </xf>
    <xf numFmtId="9" fontId="40" fillId="10" borderId="0" xfId="3" applyFont="1" applyFill="1" applyBorder="1" applyAlignment="1">
      <alignment horizontal="center"/>
    </xf>
    <xf numFmtId="0" fontId="0" fillId="8" borderId="0" xfId="0" applyFill="1" applyAlignment="1">
      <alignment horizontal="left"/>
    </xf>
    <xf numFmtId="168" fontId="0" fillId="8" borderId="0" xfId="0" applyNumberFormat="1" applyFill="1"/>
    <xf numFmtId="0" fontId="5" fillId="2" borderId="0" xfId="2" applyFill="1"/>
    <xf numFmtId="0" fontId="7" fillId="2" borderId="0" xfId="2" applyFont="1" applyFill="1" applyAlignment="1">
      <alignment horizontal="center"/>
    </xf>
    <xf numFmtId="0" fontId="7" fillId="2" borderId="0" xfId="2" applyFont="1" applyFill="1" applyAlignment="1">
      <alignment horizontal="center" vertical="center"/>
    </xf>
    <xf numFmtId="166" fontId="5" fillId="2" borderId="0" xfId="2" applyNumberFormat="1" applyFill="1" applyAlignment="1">
      <alignment horizontal="center"/>
    </xf>
    <xf numFmtId="164" fontId="5" fillId="2" borderId="0" xfId="2" applyNumberFormat="1" applyFill="1" applyAlignment="1">
      <alignment horizontal="center" vertical="center"/>
    </xf>
    <xf numFmtId="166" fontId="5" fillId="2" borderId="0" xfId="2" applyNumberFormat="1" applyFill="1" applyAlignment="1">
      <alignment horizontal="center" vertical="center"/>
    </xf>
    <xf numFmtId="166" fontId="0" fillId="8" borderId="0" xfId="0" applyNumberFormat="1" applyFill="1"/>
    <xf numFmtId="0" fontId="7" fillId="2" borderId="0" xfId="2" applyFont="1" applyFill="1" applyAlignment="1">
      <alignment horizontal="left"/>
    </xf>
    <xf numFmtId="0" fontId="5" fillId="2" borderId="0" xfId="2" applyFont="1" applyFill="1" applyAlignment="1">
      <alignment horizontal="left"/>
    </xf>
    <xf numFmtId="1" fontId="0" fillId="2" borderId="2" xfId="0" applyNumberFormat="1" applyFill="1" applyBorder="1" applyAlignment="1">
      <alignment horizontal="center"/>
    </xf>
    <xf numFmtId="166" fontId="0" fillId="2" borderId="2" xfId="0" applyNumberFormat="1" applyFill="1" applyBorder="1" applyAlignment="1">
      <alignment horizontal="center"/>
    </xf>
    <xf numFmtId="166" fontId="0" fillId="2" borderId="2" xfId="0" applyNumberFormat="1" applyFill="1" applyBorder="1"/>
    <xf numFmtId="166" fontId="0" fillId="2" borderId="2" xfId="0" applyNumberFormat="1" applyFill="1" applyBorder="1" applyAlignment="1">
      <alignment horizontal="center" vertical="center"/>
    </xf>
    <xf numFmtId="166" fontId="0" fillId="2" borderId="0" xfId="0" applyNumberFormat="1" applyFill="1" applyAlignment="1">
      <alignment horizontal="center" vertical="center"/>
    </xf>
    <xf numFmtId="166" fontId="0" fillId="2" borderId="0" xfId="0" applyNumberFormat="1" applyFill="1"/>
    <xf numFmtId="166" fontId="0" fillId="2" borderId="0" xfId="0" applyNumberFormat="1" applyFill="1" applyAlignment="1">
      <alignment horizontal="center"/>
    </xf>
    <xf numFmtId="169" fontId="0" fillId="0" borderId="0" xfId="0" applyNumberFormat="1"/>
    <xf numFmtId="166" fontId="0" fillId="0" borderId="0" xfId="0" applyNumberFormat="1"/>
    <xf numFmtId="164" fontId="5" fillId="0" borderId="0" xfId="2" applyNumberFormat="1"/>
    <xf numFmtId="14" fontId="37" fillId="11" borderId="0" xfId="2" applyNumberFormat="1" applyFont="1" applyFill="1" applyBorder="1" applyAlignment="1">
      <alignment horizontal="left"/>
    </xf>
    <xf numFmtId="0" fontId="37" fillId="11" borderId="0" xfId="2" applyFont="1" applyFill="1" applyBorder="1" applyAlignment="1"/>
    <xf numFmtId="1" fontId="37" fillId="11" borderId="0" xfId="2" applyNumberFormat="1" applyFont="1" applyFill="1" applyBorder="1" applyAlignment="1">
      <alignment horizontal="center"/>
    </xf>
    <xf numFmtId="2" fontId="5" fillId="0" borderId="0" xfId="2" applyNumberFormat="1"/>
    <xf numFmtId="0" fontId="5" fillId="0" borderId="0" xfId="2" applyFont="1"/>
    <xf numFmtId="0" fontId="58" fillId="8" borderId="0" xfId="2" applyFont="1" applyFill="1" applyAlignment="1">
      <alignment horizontal="center" wrapText="1"/>
    </xf>
    <xf numFmtId="1" fontId="28" fillId="8" borderId="0" xfId="0" applyNumberFormat="1" applyFont="1" applyFill="1" applyBorder="1" applyAlignment="1" applyProtection="1">
      <alignment horizontal="left"/>
    </xf>
    <xf numFmtId="2" fontId="22" fillId="0" borderId="0" xfId="0" applyNumberFormat="1" applyFont="1" applyFill="1" applyAlignment="1" applyProtection="1">
      <alignment horizontal="left"/>
    </xf>
    <xf numFmtId="0" fontId="7" fillId="2" borderId="8" xfId="0" applyFont="1" applyFill="1" applyBorder="1" applyAlignment="1">
      <alignment horizontal="center"/>
    </xf>
    <xf numFmtId="0" fontId="7" fillId="2" borderId="0" xfId="0" applyFont="1" applyFill="1" applyAlignment="1">
      <alignment horizontal="center"/>
    </xf>
    <xf numFmtId="0" fontId="19" fillId="4" borderId="1" xfId="0" applyFont="1" applyFill="1" applyBorder="1" applyAlignment="1">
      <alignment horizontal="left" vertical="center"/>
    </xf>
    <xf numFmtId="0" fontId="14" fillId="4" borderId="1" xfId="0" applyFont="1" applyFill="1" applyBorder="1" applyAlignment="1">
      <alignment horizontal="left" vertical="center"/>
    </xf>
    <xf numFmtId="0" fontId="10" fillId="4" borderId="0" xfId="0" applyFont="1" applyFill="1" applyAlignment="1">
      <alignment horizontal="left" wrapText="1"/>
    </xf>
    <xf numFmtId="0" fontId="5" fillId="11" borderId="8" xfId="2" applyFont="1" applyFill="1" applyBorder="1" applyAlignment="1">
      <alignment horizontal="left"/>
    </xf>
    <xf numFmtId="0" fontId="5" fillId="11" borderId="1" xfId="2" applyFont="1" applyFill="1" applyBorder="1" applyAlignment="1">
      <alignment horizontal="left"/>
    </xf>
    <xf numFmtId="0" fontId="12" fillId="0" borderId="0" xfId="2" applyFont="1" applyFill="1" applyBorder="1" applyAlignment="1">
      <alignment wrapText="1"/>
    </xf>
    <xf numFmtId="0" fontId="6" fillId="0" borderId="0" xfId="2" applyFont="1" applyFill="1" applyBorder="1" applyAlignment="1"/>
    <xf numFmtId="0" fontId="5" fillId="11" borderId="8" xfId="2" applyFont="1" applyFill="1" applyBorder="1" applyAlignment="1">
      <alignment horizontal="left" wrapText="1"/>
    </xf>
    <xf numFmtId="0" fontId="5" fillId="11" borderId="1" xfId="2" applyFont="1" applyFill="1" applyBorder="1" applyAlignment="1">
      <alignment horizontal="left" wrapText="1"/>
    </xf>
    <xf numFmtId="0" fontId="6" fillId="0" borderId="0" xfId="2" applyFont="1" applyFill="1" applyBorder="1" applyAlignment="1">
      <alignment wrapText="1"/>
    </xf>
    <xf numFmtId="0" fontId="5" fillId="11" borderId="0" xfId="2" applyFont="1" applyFill="1" applyBorder="1" applyAlignment="1">
      <alignment horizontal="left" wrapText="1"/>
    </xf>
    <xf numFmtId="0" fontId="11" fillId="4" borderId="0" xfId="1" applyFont="1" applyFill="1" applyAlignment="1" applyProtection="1">
      <alignment horizontal="left" vertical="top" wrapText="1"/>
      <protection locked="0"/>
    </xf>
    <xf numFmtId="0" fontId="12" fillId="4" borderId="0" xfId="0" applyFont="1" applyFill="1" applyBorder="1" applyAlignment="1" applyProtection="1">
      <alignment horizontal="left" wrapText="1"/>
      <protection locked="0"/>
    </xf>
    <xf numFmtId="0" fontId="6" fillId="4" borderId="0" xfId="0" applyFont="1" applyFill="1" applyBorder="1" applyAlignment="1" applyProtection="1">
      <alignment horizontal="left" wrapText="1"/>
      <protection locked="0"/>
    </xf>
    <xf numFmtId="0" fontId="0" fillId="0" borderId="0" xfId="0" applyAlignment="1" applyProtection="1">
      <alignment horizontal="left"/>
      <protection locked="0"/>
    </xf>
    <xf numFmtId="0" fontId="17" fillId="4" borderId="0" xfId="0" applyFont="1" applyFill="1" applyAlignment="1" applyProtection="1">
      <alignment horizontal="left" vertical="top" wrapText="1"/>
      <protection locked="0"/>
    </xf>
    <xf numFmtId="0" fontId="17" fillId="4" borderId="0" xfId="0" applyFont="1" applyFill="1" applyBorder="1" applyAlignment="1">
      <alignment horizontal="left" vertical="top" wrapText="1"/>
    </xf>
    <xf numFmtId="0" fontId="0" fillId="4" borderId="0" xfId="0" applyFill="1" applyAlignment="1" applyProtection="1">
      <alignment horizontal="left" vertical="top" wrapText="1"/>
      <protection locked="0"/>
    </xf>
    <xf numFmtId="0" fontId="5" fillId="0" borderId="0" xfId="0" applyFont="1" applyAlignment="1" applyProtection="1">
      <alignment horizontal="left"/>
      <protection locked="0"/>
    </xf>
    <xf numFmtId="0" fontId="0" fillId="0" borderId="0" xfId="0" applyFill="1" applyAlignment="1" applyProtection="1">
      <alignment horizontal="left"/>
      <protection locked="0"/>
    </xf>
    <xf numFmtId="0" fontId="5" fillId="4" borderId="0" xfId="0" applyFont="1" applyFill="1" applyAlignment="1" applyProtection="1">
      <alignment horizontal="left" vertical="top" wrapText="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34" fillId="8" borderId="0" xfId="0" applyFont="1" applyFill="1" applyAlignment="1">
      <alignment horizontal="left" vertical="top" wrapText="1"/>
    </xf>
    <xf numFmtId="0" fontId="60" fillId="0" borderId="0" xfId="0" applyFont="1" applyAlignment="1">
      <alignment horizontal="left" vertical="top" wrapText="1"/>
    </xf>
    <xf numFmtId="0" fontId="10" fillId="10" borderId="7" xfId="0" applyFont="1" applyFill="1" applyBorder="1" applyAlignment="1">
      <alignment horizontal="center" wrapText="1"/>
    </xf>
    <xf numFmtId="0" fontId="10" fillId="10" borderId="6" xfId="0" applyFont="1" applyFill="1" applyBorder="1" applyAlignment="1">
      <alignment horizontal="center" wrapText="1"/>
    </xf>
    <xf numFmtId="0" fontId="10" fillId="10" borderId="21" xfId="0" applyFont="1" applyFill="1" applyBorder="1" applyAlignment="1">
      <alignment horizontal="left" vertical="top"/>
    </xf>
    <xf numFmtId="0" fontId="10" fillId="10" borderId="22" xfId="0" applyFont="1" applyFill="1" applyBorder="1" applyAlignment="1">
      <alignment horizontal="left" vertical="top"/>
    </xf>
    <xf numFmtId="0" fontId="5" fillId="10" borderId="7" xfId="0" applyFont="1" applyFill="1" applyBorder="1" applyAlignment="1">
      <alignment horizontal="center" wrapText="1"/>
    </xf>
    <xf numFmtId="0" fontId="5" fillId="10" borderId="6" xfId="0" applyFont="1" applyFill="1" applyBorder="1" applyAlignment="1">
      <alignment horizontal="center" wrapText="1"/>
    </xf>
    <xf numFmtId="0" fontId="5" fillId="10" borderId="10" xfId="0" applyFont="1" applyFill="1" applyBorder="1" applyAlignment="1">
      <alignment horizontal="left"/>
    </xf>
    <xf numFmtId="0" fontId="5" fillId="10" borderId="11" xfId="0" applyFont="1" applyFill="1" applyBorder="1" applyAlignment="1">
      <alignment horizontal="left"/>
    </xf>
    <xf numFmtId="0" fontId="5" fillId="11" borderId="10" xfId="0" applyFont="1" applyFill="1" applyBorder="1" applyAlignment="1">
      <alignment horizontal="left" vertical="top"/>
    </xf>
    <xf numFmtId="0" fontId="5" fillId="11" borderId="11" xfId="0" applyFont="1" applyFill="1" applyBorder="1" applyAlignment="1">
      <alignment horizontal="left" vertical="top"/>
    </xf>
    <xf numFmtId="0" fontId="5" fillId="10" borderId="5" xfId="0" applyFont="1" applyFill="1" applyBorder="1" applyAlignment="1">
      <alignment horizontal="center" wrapText="1"/>
    </xf>
    <xf numFmtId="2" fontId="22" fillId="8" borderId="0" xfId="0" applyNumberFormat="1" applyFont="1" applyFill="1" applyAlignment="1" applyProtection="1">
      <alignment horizontal="left"/>
    </xf>
    <xf numFmtId="0" fontId="33" fillId="15" borderId="9" xfId="6" applyFont="1" applyFill="1" applyBorder="1" applyAlignment="1">
      <alignment horizontal="center"/>
    </xf>
    <xf numFmtId="0" fontId="5" fillId="10" borderId="9" xfId="0" applyFont="1" applyFill="1" applyBorder="1" applyAlignment="1">
      <alignment horizontal="center"/>
    </xf>
    <xf numFmtId="0" fontId="33" fillId="10" borderId="10" xfId="7" applyFont="1" applyFill="1" applyBorder="1" applyAlignment="1">
      <alignment horizontal="center"/>
    </xf>
    <xf numFmtId="0" fontId="33" fillId="10" borderId="2" xfId="7" applyFont="1" applyFill="1" applyBorder="1" applyAlignment="1">
      <alignment horizontal="center"/>
    </xf>
    <xf numFmtId="0" fontId="33" fillId="10" borderId="11" xfId="7" applyFont="1" applyFill="1" applyBorder="1" applyAlignment="1">
      <alignment horizontal="center"/>
    </xf>
    <xf numFmtId="0" fontId="15" fillId="10" borderId="10" xfId="0" applyFont="1" applyFill="1" applyBorder="1" applyAlignment="1">
      <alignment horizontal="left" vertical="top"/>
    </xf>
    <xf numFmtId="0" fontId="15" fillId="10" borderId="2" xfId="0" applyFont="1" applyFill="1" applyBorder="1" applyAlignment="1">
      <alignment horizontal="left" vertical="top"/>
    </xf>
    <xf numFmtId="0" fontId="15" fillId="10" borderId="11" xfId="0" applyFont="1" applyFill="1" applyBorder="1" applyAlignment="1">
      <alignment horizontal="left" vertical="top"/>
    </xf>
    <xf numFmtId="0" fontId="15" fillId="11" borderId="10" xfId="0" applyFont="1" applyFill="1" applyBorder="1" applyAlignment="1">
      <alignment horizontal="left" vertical="top"/>
    </xf>
    <xf numFmtId="0" fontId="15" fillId="11" borderId="2" xfId="0" applyFont="1" applyFill="1" applyBorder="1" applyAlignment="1">
      <alignment horizontal="left" vertical="top"/>
    </xf>
    <xf numFmtId="0" fontId="15" fillId="11" borderId="11" xfId="0" applyFont="1" applyFill="1" applyBorder="1" applyAlignment="1">
      <alignment horizontal="left" vertical="top"/>
    </xf>
    <xf numFmtId="0" fontId="10" fillId="10" borderId="5" xfId="0" applyFont="1" applyFill="1" applyBorder="1" applyAlignment="1">
      <alignment horizontal="center" wrapText="1"/>
    </xf>
    <xf numFmtId="0" fontId="0" fillId="10" borderId="7" xfId="0" applyFill="1" applyBorder="1" applyAlignment="1">
      <alignment horizontal="left"/>
    </xf>
    <xf numFmtId="0" fontId="0" fillId="10" borderId="5" xfId="0" applyFill="1" applyBorder="1" applyAlignment="1">
      <alignment horizontal="left"/>
    </xf>
    <xf numFmtId="0" fontId="14" fillId="8" borderId="0" xfId="0" applyFont="1" applyFill="1" applyBorder="1" applyAlignment="1">
      <alignment horizontal="left"/>
    </xf>
    <xf numFmtId="0" fontId="31" fillId="7" borderId="10" xfId="8" applyFont="1" applyFill="1" applyBorder="1" applyAlignment="1">
      <alignment horizontal="left"/>
    </xf>
    <xf numFmtId="0" fontId="31" fillId="7" borderId="2" xfId="8" applyFont="1" applyFill="1" applyBorder="1" applyAlignment="1">
      <alignment horizontal="left"/>
    </xf>
    <xf numFmtId="0" fontId="31" fillId="7" borderId="11" xfId="8" applyFont="1" applyFill="1" applyBorder="1" applyAlignment="1">
      <alignment horizontal="left"/>
    </xf>
    <xf numFmtId="0" fontId="0" fillId="10" borderId="15" xfId="0" applyFill="1" applyBorder="1" applyAlignment="1">
      <alignment horizontal="left"/>
    </xf>
    <xf numFmtId="0" fontId="0" fillId="10" borderId="14" xfId="0" applyFill="1" applyBorder="1" applyAlignment="1">
      <alignment horizontal="left"/>
    </xf>
    <xf numFmtId="0" fontId="0" fillId="10" borderId="13" xfId="0" applyFill="1" applyBorder="1" applyAlignment="1">
      <alignment horizontal="left"/>
    </xf>
    <xf numFmtId="0" fontId="0" fillId="10" borderId="4" xfId="0" applyFill="1" applyBorder="1" applyAlignment="1">
      <alignment horizontal="left"/>
    </xf>
    <xf numFmtId="0" fontId="5" fillId="11" borderId="10" xfId="0" applyFont="1" applyFill="1" applyBorder="1" applyAlignment="1">
      <alignment horizontal="left"/>
    </xf>
    <xf numFmtId="0" fontId="5" fillId="11" borderId="11" xfId="0" applyFont="1" applyFill="1" applyBorder="1" applyAlignment="1">
      <alignment horizontal="left"/>
    </xf>
    <xf numFmtId="0" fontId="10" fillId="10" borderId="21" xfId="0" applyFont="1" applyFill="1" applyBorder="1" applyAlignment="1">
      <alignment horizontal="left"/>
    </xf>
    <xf numFmtId="0" fontId="10" fillId="10" borderId="22" xfId="0" applyFont="1" applyFill="1" applyBorder="1" applyAlignment="1">
      <alignment horizontal="left"/>
    </xf>
    <xf numFmtId="0" fontId="33" fillId="10" borderId="13" xfId="7" applyFont="1" applyFill="1" applyBorder="1" applyAlignment="1">
      <alignment horizontal="center"/>
    </xf>
    <xf numFmtId="0" fontId="33" fillId="10" borderId="1" xfId="7" applyFont="1" applyFill="1" applyBorder="1" applyAlignment="1">
      <alignment horizontal="center"/>
    </xf>
    <xf numFmtId="0" fontId="33" fillId="10" borderId="4" xfId="7" applyFont="1" applyFill="1" applyBorder="1" applyAlignment="1">
      <alignment horizontal="center"/>
    </xf>
    <xf numFmtId="0" fontId="33" fillId="15" borderId="6" xfId="6" applyFont="1" applyFill="1" applyBorder="1" applyAlignment="1">
      <alignment horizontal="center"/>
    </xf>
  </cellXfs>
  <cellStyles count="37">
    <cellStyle name="20% - Accent5" xfId="7" builtinId="46"/>
    <cellStyle name="20% - Accent5 2" xfId="14" xr:uid="{00000000-0005-0000-0000-000001000000}"/>
    <cellStyle name="20% - Accent5 2 2" xfId="28" xr:uid="{00000000-0005-0000-0000-000002000000}"/>
    <cellStyle name="20% - Accent5 3" xfId="19" xr:uid="{00000000-0005-0000-0000-000003000000}"/>
    <cellStyle name="20% - Accent5 3 2" xfId="33" xr:uid="{00000000-0005-0000-0000-000004000000}"/>
    <cellStyle name="20% - Accent5 4" xfId="24" xr:uid="{00000000-0005-0000-0000-000005000000}"/>
    <cellStyle name="20% - Accent6 2" xfId="15" xr:uid="{00000000-0005-0000-0000-000006000000}"/>
    <cellStyle name="20% - Accent6 2 2" xfId="29" xr:uid="{00000000-0005-0000-0000-000007000000}"/>
    <cellStyle name="20% - Accent6 3" xfId="20" xr:uid="{00000000-0005-0000-0000-000008000000}"/>
    <cellStyle name="20% - Accent6 3 2" xfId="34" xr:uid="{00000000-0005-0000-0000-000009000000}"/>
    <cellStyle name="40% - Accent3" xfId="6" builtinId="39"/>
    <cellStyle name="40% - Accent3 2" xfId="13" xr:uid="{00000000-0005-0000-0000-00000B000000}"/>
    <cellStyle name="40% - Accent3 2 2" xfId="27" xr:uid="{00000000-0005-0000-0000-00000C000000}"/>
    <cellStyle name="40% - Accent3 3" xfId="18" xr:uid="{00000000-0005-0000-0000-00000D000000}"/>
    <cellStyle name="40% - Accent3 3 2" xfId="32" xr:uid="{00000000-0005-0000-0000-00000E000000}"/>
    <cellStyle name="40% - Accent3 4" xfId="23" xr:uid="{00000000-0005-0000-0000-00000F000000}"/>
    <cellStyle name="Comma" xfId="4" builtinId="3"/>
    <cellStyle name="Comma 2" xfId="9" xr:uid="{00000000-0005-0000-0000-000011000000}"/>
    <cellStyle name="Comma 2 2" xfId="17" xr:uid="{00000000-0005-0000-0000-000012000000}"/>
    <cellStyle name="Comma 2 2 2" xfId="31" xr:uid="{00000000-0005-0000-0000-000013000000}"/>
    <cellStyle name="Comma 2 3" xfId="22" xr:uid="{00000000-0005-0000-0000-000014000000}"/>
    <cellStyle name="Comma 2 3 2" xfId="36" xr:uid="{00000000-0005-0000-0000-000015000000}"/>
    <cellStyle name="Comma 2 4" xfId="26" xr:uid="{00000000-0005-0000-0000-000016000000}"/>
    <cellStyle name="Comma 3" xfId="10" xr:uid="{00000000-0005-0000-0000-000017000000}"/>
    <cellStyle name="Currency" xfId="5" builtinId="4"/>
    <cellStyle name="Currency 2" xfId="12" xr:uid="{00000000-0005-0000-0000-000019000000}"/>
    <cellStyle name="Hyperlink" xfId="1" builtinId="8"/>
    <cellStyle name="Normal" xfId="0" builtinId="0"/>
    <cellStyle name="Normal 2" xfId="2" xr:uid="{00000000-0005-0000-0000-00001C000000}"/>
    <cellStyle name="Normal 3" xfId="8" xr:uid="{00000000-0005-0000-0000-00001D000000}"/>
    <cellStyle name="Normal 3 2" xfId="16" xr:uid="{00000000-0005-0000-0000-00001E000000}"/>
    <cellStyle name="Normal 3 2 2" xfId="30" xr:uid="{00000000-0005-0000-0000-00001F000000}"/>
    <cellStyle name="Normal 3 3" xfId="21" xr:uid="{00000000-0005-0000-0000-000020000000}"/>
    <cellStyle name="Normal 3 3 2" xfId="35" xr:uid="{00000000-0005-0000-0000-000021000000}"/>
    <cellStyle name="Normal 3 4" xfId="25" xr:uid="{00000000-0005-0000-0000-000022000000}"/>
    <cellStyle name="Percent" xfId="3" builtinId="5"/>
    <cellStyle name="Percent 2" xfId="11" xr:uid="{00000000-0005-0000-0000-000024000000}"/>
  </cellStyles>
  <dxfs count="23">
    <dxf>
      <font>
        <b val="0"/>
        <i val="0"/>
        <strike val="0"/>
        <condense val="0"/>
        <extend val="0"/>
        <outline val="0"/>
        <shadow val="0"/>
        <u val="none"/>
        <vertAlign val="baseline"/>
        <sz val="12"/>
        <color theme="1"/>
        <name val="Arial"/>
        <scheme val="none"/>
      </font>
      <numFmt numFmtId="0" formatCode="General"/>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indexed="64"/>
        </top>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dxf>
    <dxf>
      <font>
        <b val="0"/>
        <i val="0"/>
        <strike val="0"/>
        <condense val="0"/>
        <extend val="0"/>
        <outline val="0"/>
        <shadow val="0"/>
        <u val="none"/>
        <vertAlign val="baseline"/>
        <sz val="12"/>
        <color theme="1"/>
        <name val="Arial"/>
        <scheme val="none"/>
      </font>
      <fill>
        <patternFill patternType="solid">
          <fgColor indexed="64"/>
          <bgColor rgb="FFFFFFCC"/>
        </patternFill>
      </fill>
      <border diagonalUp="0" diagonalDown="0" outline="0">
        <left/>
        <right/>
        <top style="thin">
          <color theme="1"/>
        </top>
        <bottom/>
      </border>
    </dxf>
    <dxf>
      <border outline="0">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6" formatCode="&quot;$&quot;#,##0"/>
      <fill>
        <patternFill patternType="solid">
          <fgColor indexed="64"/>
          <bgColor rgb="FFFFFFCC"/>
        </patternFill>
      </fill>
      <alignment horizontal="center" vertical="bottom" textRotation="0" wrapText="0"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FFFF99"/>
      <color rgb="FFCCFFFF"/>
      <color rgb="FFCCECFF"/>
      <color rgb="FFCCCCFF"/>
      <color rgb="FFFFFFCC"/>
      <color rgb="FFD6BDAA"/>
      <color rgb="FFC19A7D"/>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www.ars.usda.gov/" TargetMode="External"/><Relationship Id="rId3" Type="http://schemas.openxmlformats.org/officeDocument/2006/relationships/hyperlink" Target="http://www.wsu.edu/" TargetMode="External"/><Relationship Id="rId7" Type="http://schemas.openxmlformats.org/officeDocument/2006/relationships/image" Target="../media/image4.png"/><Relationship Id="rId12" Type="http://schemas.openxmlformats.org/officeDocument/2006/relationships/image" Target="../media/image7.jpeg"/><Relationship Id="rId2" Type="http://schemas.openxmlformats.org/officeDocument/2006/relationships/image" Target="../media/image1.jpeg"/><Relationship Id="rId1" Type="http://schemas.openxmlformats.org/officeDocument/2006/relationships/hyperlink" Target="http://www.uidaho.edu/cals/aers" TargetMode="External"/><Relationship Id="rId6" Type="http://schemas.openxmlformats.org/officeDocument/2006/relationships/hyperlink" Target="http://agr.wa.gov/bioenergy/" TargetMode="External"/><Relationship Id="rId11" Type="http://schemas.openxmlformats.org/officeDocument/2006/relationships/image" Target="../media/image6.jpeg"/><Relationship Id="rId5" Type="http://schemas.openxmlformats.org/officeDocument/2006/relationships/image" Target="../media/image3.gif"/><Relationship Id="rId10" Type="http://schemas.openxmlformats.org/officeDocument/2006/relationships/hyperlink" Target="https://www.reacchpna.org/" TargetMode="External"/><Relationship Id="rId4" Type="http://schemas.openxmlformats.org/officeDocument/2006/relationships/image" Target="../media/image2.gif"/><Relationship Id="rId9"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twoCellAnchor editAs="oneCell">
    <xdr:from>
      <xdr:col>3</xdr:col>
      <xdr:colOff>1071563</xdr:colOff>
      <xdr:row>35</xdr:row>
      <xdr:rowOff>19050</xdr:rowOff>
    </xdr:from>
    <xdr:to>
      <xdr:col>5</xdr:col>
      <xdr:colOff>682445</xdr:colOff>
      <xdr:row>37</xdr:row>
      <xdr:rowOff>157162</xdr:rowOff>
    </xdr:to>
    <xdr:pic>
      <xdr:nvPicPr>
        <xdr:cNvPr id="2" name="Picture 4" descr="01UICALS-metallic.jp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9563" y="6867525"/>
          <a:ext cx="2039757" cy="461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1190626</xdr:colOff>
      <xdr:row>35</xdr:row>
      <xdr:rowOff>40482</xdr:rowOff>
    </xdr:from>
    <xdr:to>
      <xdr:col>3</xdr:col>
      <xdr:colOff>415520</xdr:colOff>
      <xdr:row>39</xdr:row>
      <xdr:rowOff>4763</xdr:rowOff>
    </xdr:to>
    <xdr:pic>
      <xdr:nvPicPr>
        <xdr:cNvPr id="3" name="Picture 2" descr="http://identity.wsu.edu/logo/images/academic-signature.gif">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1" y="6888957"/>
          <a:ext cx="1653769" cy="611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35</xdr:row>
      <xdr:rowOff>0</xdr:rowOff>
    </xdr:from>
    <xdr:to>
      <xdr:col>3</xdr:col>
      <xdr:colOff>9525</xdr:colOff>
      <xdr:row>35</xdr:row>
      <xdr:rowOff>9525</xdr:rowOff>
    </xdr:to>
    <xdr:pic>
      <xdr:nvPicPr>
        <xdr:cNvPr id="4" name="Picture 3" descr="return to homepag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00" y="6848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269207</xdr:colOff>
      <xdr:row>38</xdr:row>
      <xdr:rowOff>152316</xdr:rowOff>
    </xdr:from>
    <xdr:to>
      <xdr:col>2</xdr:col>
      <xdr:colOff>309562</xdr:colOff>
      <xdr:row>43</xdr:row>
      <xdr:rowOff>47625</xdr:rowOff>
    </xdr:to>
    <xdr:pic>
      <xdr:nvPicPr>
        <xdr:cNvPr id="5" name="Picture 4" descr="http://agr.wa.gov/aboutwsda/images/WSDALogo100Years-Color-NoText.png">
          <a:hlinkClick xmlns:r="http://schemas.openxmlformats.org/officeDocument/2006/relationships" r:id="rId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8332" y="7486566"/>
          <a:ext cx="1631030" cy="704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147638</xdr:colOff>
      <xdr:row>39</xdr:row>
      <xdr:rowOff>128587</xdr:rowOff>
    </xdr:from>
    <xdr:to>
      <xdr:col>4</xdr:col>
      <xdr:colOff>155114</xdr:colOff>
      <xdr:row>42</xdr:row>
      <xdr:rowOff>128588</xdr:rowOff>
    </xdr:to>
    <xdr:pic>
      <xdr:nvPicPr>
        <xdr:cNvPr id="6" name="Picture 5" descr="http://www.afm.ars.usda.gov/ppweb/ARS%20USDA%20ad%20logo%20copy.gif">
          <a:hlinkClick xmlns:r="http://schemas.openxmlformats.org/officeDocument/2006/relationships" r:id="rId8"/>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95638" y="7624762"/>
          <a:ext cx="1598151" cy="485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646907</xdr:colOff>
      <xdr:row>39</xdr:row>
      <xdr:rowOff>80408</xdr:rowOff>
    </xdr:from>
    <xdr:to>
      <xdr:col>5</xdr:col>
      <xdr:colOff>1498337</xdr:colOff>
      <xdr:row>43</xdr:row>
      <xdr:rowOff>528</xdr:rowOff>
    </xdr:to>
    <xdr:pic>
      <xdr:nvPicPr>
        <xdr:cNvPr id="7" name="Picture 2">
          <a:hlinkClick xmlns:r="http://schemas.openxmlformats.org/officeDocument/2006/relationships" r:id="rId10"/>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85582" y="7576583"/>
          <a:ext cx="1689630" cy="56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1057275</xdr:colOff>
      <xdr:row>5</xdr:row>
      <xdr:rowOff>118533</xdr:rowOff>
    </xdr:from>
    <xdr:to>
      <xdr:col>5</xdr:col>
      <xdr:colOff>533400</xdr:colOff>
      <xdr:row>18</xdr:row>
      <xdr:rowOff>141816</xdr:rowOff>
    </xdr:to>
    <xdr:grpSp>
      <xdr:nvGrpSpPr>
        <xdr:cNvPr id="8" name="Group 3">
          <a:extLst>
            <a:ext uri="{FF2B5EF4-FFF2-40B4-BE49-F238E27FC236}">
              <a16:creationId xmlns:a16="http://schemas.microsoft.com/office/drawing/2014/main" id="{00000000-0008-0000-0000-000008000000}"/>
            </a:ext>
          </a:extLst>
        </xdr:cNvPr>
        <xdr:cNvGrpSpPr>
          <a:grpSpLocks noChangeAspect="1"/>
        </xdr:cNvGrpSpPr>
      </xdr:nvGrpSpPr>
      <xdr:grpSpPr bwMode="auto">
        <a:xfrm>
          <a:off x="1681692" y="1240366"/>
          <a:ext cx="4323291" cy="3145367"/>
          <a:chOff x="176" y="42"/>
          <a:chExt cx="455" cy="330"/>
        </a:xfrm>
      </xdr:grpSpPr>
      <xdr:sp macro="" textlink="">
        <xdr:nvSpPr>
          <xdr:cNvPr id="9" name="AutoShape 2">
            <a:extLst>
              <a:ext uri="{FF2B5EF4-FFF2-40B4-BE49-F238E27FC236}">
                <a16:creationId xmlns:a16="http://schemas.microsoft.com/office/drawing/2014/main" id="{00000000-0008-0000-0000-000009000000}"/>
              </a:ext>
            </a:extLst>
          </xdr:cNvPr>
          <xdr:cNvSpPr>
            <a:spLocks noChangeAspect="1" noChangeArrowheads="1" noTextEdit="1"/>
          </xdr:cNvSpPr>
        </xdr:nvSpPr>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6" y="42"/>
            <a:ext cx="455" cy="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196453</xdr:colOff>
      <xdr:row>24</xdr:row>
      <xdr:rowOff>65484</xdr:rowOff>
    </xdr:from>
    <xdr:to>
      <xdr:col>10</xdr:col>
      <xdr:colOff>542924</xdr:colOff>
      <xdr:row>79</xdr:row>
      <xdr:rowOff>161924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96453" y="3951684"/>
          <a:ext cx="6547246" cy="9002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 </a:t>
          </a:r>
          <a:endParaRPr lang="en-US" sz="1100">
            <a:solidFill>
              <a:schemeClr val="dk1"/>
            </a:solidFill>
            <a:effectLst/>
            <a:latin typeface="+mn-lt"/>
            <a:ea typeface="+mn-ea"/>
            <a:cs typeface="+mn-cs"/>
          </a:endParaRPr>
        </a:p>
        <a:p>
          <a:pPr marL="0" marR="0">
            <a:lnSpc>
              <a:spcPct val="107000"/>
            </a:lnSpc>
            <a:spcBef>
              <a:spcPts val="0"/>
            </a:spcBef>
            <a:spcAft>
              <a:spcPts val="800"/>
            </a:spcAft>
          </a:pPr>
          <a:r>
            <a:rPr lang="en-US" sz="1100" b="1">
              <a:effectLst/>
              <a:latin typeface="+mn-lt"/>
              <a:ea typeface="Calibri"/>
              <a:cs typeface="Times New Roman"/>
            </a:rPr>
            <a:t>How to Use the Excel Workbook Budgets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Review the Budget Assumptions sections (listed below) that were used to create the budgets. You may need to adjust these budgets as follows in order to accurately reflect your situation. </a:t>
          </a:r>
        </a:p>
        <a:p>
          <a:pPr marL="0" marR="0">
            <a:lnSpc>
              <a:spcPct val="107000"/>
            </a:lnSpc>
            <a:spcBef>
              <a:spcPts val="0"/>
            </a:spcBef>
            <a:spcAft>
              <a:spcPts val="800"/>
            </a:spcAft>
          </a:pPr>
          <a:r>
            <a:rPr lang="en-US" sz="1100">
              <a:effectLst/>
              <a:latin typeface="+mn-lt"/>
              <a:ea typeface="Calibri"/>
              <a:cs typeface="Times New Roman"/>
            </a:rPr>
            <a:t>Adjust crop budgets in the Excel workbook for your specific farm operation:</a:t>
          </a:r>
        </a:p>
        <a:p>
          <a:pPr marL="457200" marR="0">
            <a:lnSpc>
              <a:spcPct val="107000"/>
            </a:lnSpc>
            <a:spcBef>
              <a:spcPts val="0"/>
            </a:spcBef>
            <a:spcAft>
              <a:spcPts val="800"/>
            </a:spcAft>
          </a:pPr>
          <a:r>
            <a:rPr lang="en-US" sz="1100" b="1">
              <a:effectLst/>
              <a:latin typeface="+mn-lt"/>
              <a:ea typeface="Calibri"/>
              <a:cs typeface="Times New Roman"/>
            </a:rPr>
            <a:t>Inputs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costs on the </a:t>
          </a:r>
          <a:r>
            <a:rPr lang="en-US" sz="1100" b="1">
              <a:effectLst/>
              <a:latin typeface="+mn-lt"/>
              <a:ea typeface="Calibri"/>
              <a:cs typeface="Times New Roman"/>
            </a:rPr>
            <a:t>green Input Costs tab</a:t>
          </a:r>
          <a:r>
            <a:rPr lang="en-US" sz="1100">
              <a:effectLst/>
              <a:latin typeface="+mn-lt"/>
              <a:ea typeface="Calibri"/>
              <a:cs typeface="Times New Roman"/>
            </a:rPr>
            <a:t> and the cost will update throughout the budgets. If you use a product that is not listed on the Input Costs tab, you can add (or remove) inputs and adjust quantities used on the individual crop budgets (tabs numbered 1 through 8). </a:t>
          </a:r>
        </a:p>
        <a:p>
          <a:pPr marL="457200" marR="0">
            <a:lnSpc>
              <a:spcPct val="107000"/>
            </a:lnSpc>
            <a:spcBef>
              <a:spcPts val="0"/>
            </a:spcBef>
            <a:spcAft>
              <a:spcPts val="800"/>
            </a:spcAft>
          </a:pPr>
          <a:r>
            <a:rPr lang="en-US" sz="1100" b="1">
              <a:effectLst/>
              <a:latin typeface="+mn-lt"/>
              <a:ea typeface="Calibri"/>
              <a:cs typeface="Times New Roman"/>
            </a:rPr>
            <a:t>Machinery operations</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Update machinery operations on the </a:t>
          </a:r>
          <a:r>
            <a:rPr lang="en-US" sz="1100" b="1">
              <a:effectLst/>
              <a:latin typeface="+mn-lt"/>
              <a:ea typeface="Calibri"/>
              <a:cs typeface="Times New Roman"/>
            </a:rPr>
            <a:t>blue Machinery Costs tab</a:t>
          </a:r>
          <a:r>
            <a:rPr lang="en-US" sz="1100">
              <a:effectLst/>
              <a:latin typeface="+mn-lt"/>
              <a:ea typeface="Calibri"/>
              <a:cs typeface="Times New Roman"/>
            </a:rPr>
            <a:t> (scroll right through the tabs at the bottom of the Excel workbook to reach the Machinery Costs tab) and the costs will update throughout the budgets. You can adjust the number and type of machinery operations for each crop or fallow cycle (Tables 5 through 16) by adjusting the Number of Passes marked in red text for the operation that most closely matches your equipment. </a:t>
          </a:r>
        </a:p>
        <a:p>
          <a:pPr marL="457200" marR="0">
            <a:lnSpc>
              <a:spcPct val="107000"/>
            </a:lnSpc>
            <a:spcBef>
              <a:spcPts val="0"/>
            </a:spcBef>
            <a:spcAft>
              <a:spcPts val="800"/>
            </a:spcAft>
          </a:pPr>
          <a:r>
            <a:rPr lang="en-US" sz="1100">
              <a:effectLst/>
              <a:latin typeface="+mn-lt"/>
              <a:ea typeface="Calibri"/>
              <a:cs typeface="Times New Roman"/>
            </a:rPr>
            <a:t>The machinery information on the Machinery Complement tab (Table 3), was entered into the University of Idaho's Crop Machinery Cost Calculator to estimate cost per acre for common operations. Machinery values, depreciation, repairs, etc. for individual pieces of machinery cannot be directly adjusted in the Excel workbook for these crop budgets at this time. However, costs per acre can be overwritten in Table 4 of the Machinery Costs tab, if you know your own cost per acre for a particular operation. </a:t>
          </a:r>
        </a:p>
        <a:p>
          <a:pPr marL="457200" marR="0">
            <a:lnSpc>
              <a:spcPct val="107000"/>
            </a:lnSpc>
            <a:spcBef>
              <a:spcPts val="0"/>
            </a:spcBef>
            <a:spcAft>
              <a:spcPts val="800"/>
            </a:spcAft>
          </a:pPr>
          <a:r>
            <a:rPr lang="en-US" sz="1100">
              <a:effectLst/>
              <a:latin typeface="+mn-lt"/>
              <a:ea typeface="Calibri"/>
              <a:cs typeface="Times New Roman"/>
            </a:rPr>
            <a:t>Enter yield and price values in Table 1 on the </a:t>
          </a:r>
          <a:r>
            <a:rPr lang="en-US" sz="1100" b="1">
              <a:effectLst/>
              <a:latin typeface="+mn-lt"/>
              <a:ea typeface="Calibri"/>
              <a:cs typeface="Times New Roman"/>
            </a:rPr>
            <a:t>purple Summary tab</a:t>
          </a:r>
          <a:r>
            <a:rPr lang="en-US" sz="1100">
              <a:effectLst/>
              <a:latin typeface="+mn-lt"/>
              <a:ea typeface="Calibri"/>
              <a:cs typeface="Times New Roman"/>
            </a:rPr>
            <a:t>. Wheat yields can be different in the canola rotation versus the wheat rotation. Yield and price values changed on the Summary tab will update throughout the budgets.</a:t>
          </a:r>
        </a:p>
        <a:p>
          <a:pPr marL="457200" marR="0">
            <a:lnSpc>
              <a:spcPct val="107000"/>
            </a:lnSpc>
            <a:spcBef>
              <a:spcPts val="0"/>
            </a:spcBef>
            <a:spcAft>
              <a:spcPts val="800"/>
            </a:spcAft>
          </a:pPr>
          <a:r>
            <a:rPr lang="en-US" sz="1100">
              <a:effectLst/>
              <a:latin typeface="+mn-lt"/>
              <a:ea typeface="Calibri"/>
              <a:cs typeface="Times New Roman"/>
            </a:rPr>
            <a:t>Choose rotation scenarios and compare returns between rotations in Table 2 on the </a:t>
          </a:r>
          <a:r>
            <a:rPr lang="en-US" sz="1100" b="1">
              <a:effectLst/>
              <a:latin typeface="+mn-lt"/>
              <a:ea typeface="Calibri"/>
              <a:cs typeface="Times New Roman"/>
            </a:rPr>
            <a:t>purple Summary tab</a:t>
          </a:r>
          <a:r>
            <a:rPr lang="en-US" sz="1100">
              <a:effectLst/>
              <a:latin typeface="+mn-lt"/>
              <a:ea typeface="Calibri"/>
              <a:cs typeface="Times New Roman"/>
            </a:rPr>
            <a:t>. Make sure you have updated the individual crop budgets (tabs numbered 1 through 8) used in the rotations you have chosen (wheat and/or canola rotations) as needed.</a:t>
          </a:r>
        </a:p>
        <a:p>
          <a:pPr marL="457200" marR="0">
            <a:lnSpc>
              <a:spcPct val="107000"/>
            </a:lnSpc>
            <a:spcBef>
              <a:spcPts val="0"/>
            </a:spcBef>
            <a:spcAft>
              <a:spcPts val="800"/>
            </a:spcAft>
          </a:pPr>
          <a:r>
            <a:rPr lang="en-US" sz="1100" b="1">
              <a:effectLst/>
              <a:latin typeface="+mn-lt"/>
              <a:ea typeface="Calibri"/>
              <a:cs typeface="Times New Roman"/>
            </a:rPr>
            <a:t>Color Coding</a:t>
          </a:r>
          <a:endParaRPr lang="en-US" sz="1100">
            <a:effectLst/>
            <a:latin typeface="+mn-lt"/>
            <a:ea typeface="Calibri"/>
            <a:cs typeface="Times New Roman"/>
          </a:endParaRPr>
        </a:p>
        <a:p>
          <a:pPr marL="457200" marR="0">
            <a:lnSpc>
              <a:spcPct val="107000"/>
            </a:lnSpc>
            <a:spcBef>
              <a:spcPts val="0"/>
            </a:spcBef>
            <a:spcAft>
              <a:spcPts val="800"/>
            </a:spcAft>
          </a:pPr>
          <a:r>
            <a:rPr lang="en-US" sz="1100">
              <a:effectLst/>
              <a:latin typeface="+mn-lt"/>
              <a:ea typeface="Calibri"/>
              <a:cs typeface="Times New Roman"/>
            </a:rPr>
            <a:t>The text color coding system below is used to indicate the source of the data for each budget and to show which data can be adjusted by the user.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Red text</a:t>
          </a:r>
          <a:r>
            <a:rPr lang="en-US" sz="1100">
              <a:effectLst/>
              <a:latin typeface="+mn-lt"/>
              <a:ea typeface="Calibri"/>
              <a:cs typeface="Times New Roman"/>
            </a:rPr>
            <a:t> can be changed without affecting the underlying equations in this cost calculator.</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Purple text </a:t>
          </a:r>
          <a:r>
            <a:rPr lang="en-US" sz="1100">
              <a:effectLst/>
              <a:latin typeface="+mn-lt"/>
              <a:ea typeface="Calibri"/>
              <a:cs typeface="Times New Roman"/>
            </a:rPr>
            <a:t>indicates that the information is from the purple Summary tab (Table 1). For example, yield values appear on the Summary tab in red text but on the crop budget (tabs 1 through 8) in purple text; updating yields on the Summary tab will automatically update yields on the crop budgets tabs. This allows you to quickly compare net returns under different yield and price scenarios without leaving the Summary tab.</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Green text </a:t>
          </a:r>
          <a:r>
            <a:rPr lang="en-US" sz="1100">
              <a:effectLst/>
              <a:latin typeface="+mn-lt"/>
              <a:ea typeface="Calibri"/>
              <a:cs typeface="Times New Roman"/>
            </a:rPr>
            <a:t>indicates that the information is from the green Input Cost tab and can only be adjusted in the Input Cost tab. </a:t>
          </a:r>
        </a:p>
        <a:p>
          <a:pPr marL="342900" marR="0" lvl="0" indent="-342900">
            <a:lnSpc>
              <a:spcPct val="107000"/>
            </a:lnSpc>
            <a:spcBef>
              <a:spcPts val="0"/>
            </a:spcBef>
            <a:spcAft>
              <a:spcPts val="0"/>
            </a:spcAft>
            <a:buFont typeface="Symbol"/>
            <a:buChar char=""/>
          </a:pPr>
          <a:r>
            <a:rPr lang="en-US" sz="1100" b="1">
              <a:effectLst/>
              <a:latin typeface="+mn-lt"/>
              <a:ea typeface="Calibri"/>
              <a:cs typeface="Times New Roman"/>
            </a:rPr>
            <a:t>Blue text </a:t>
          </a:r>
          <a:r>
            <a:rPr lang="en-US" sz="1100">
              <a:effectLst/>
              <a:latin typeface="+mn-lt"/>
              <a:ea typeface="Calibri"/>
              <a:cs typeface="Times New Roman"/>
            </a:rPr>
            <a:t>indicates that the information is from the blue Machinery Cost tab. Please see below for more information on machinery cost assumptions and calculations.</a:t>
          </a:r>
        </a:p>
        <a:p>
          <a:pPr marL="914400" marR="0">
            <a:lnSpc>
              <a:spcPct val="107000"/>
            </a:lnSpc>
            <a:spcBef>
              <a:spcPts val="0"/>
            </a:spcBef>
            <a:spcAft>
              <a:spcPts val="0"/>
            </a:spcAft>
          </a:pPr>
          <a:r>
            <a:rPr lang="en-US" sz="1100">
              <a:effectLst/>
              <a:latin typeface="+mn-lt"/>
              <a:ea typeface="Calibri"/>
              <a:cs typeface="Times New Roman"/>
            </a:rPr>
            <a:t> </a:t>
          </a:r>
        </a:p>
        <a:p>
          <a:pPr marL="457200" marR="0">
            <a:lnSpc>
              <a:spcPct val="107000"/>
            </a:lnSpc>
            <a:spcBef>
              <a:spcPts val="0"/>
            </a:spcBef>
            <a:spcAft>
              <a:spcPts val="800"/>
            </a:spcAft>
          </a:pPr>
          <a:r>
            <a:rPr lang="en-US" sz="1100">
              <a:effectLst/>
              <a:latin typeface="+mn-lt"/>
              <a:ea typeface="Calibri"/>
              <a:cs typeface="Times New Roman"/>
            </a:rPr>
            <a:t>The Excel workbook and PDF are available online: </a:t>
          </a:r>
          <a:r>
            <a:rPr lang="en-US" sz="1100" u="sng">
              <a:effectLst/>
              <a:latin typeface="+mn-lt"/>
              <a:ea typeface="Calibri"/>
              <a:cs typeface="Times New Roman"/>
            </a:rPr>
            <a:t>http://css.wsu.edu/biofuels/</a:t>
          </a:r>
          <a:r>
            <a:rPr lang="en-US" sz="1100">
              <a:effectLst/>
              <a:latin typeface="+mn-lt"/>
              <a:ea typeface="Calibri"/>
              <a:cs typeface="Times New Roman"/>
            </a:rPr>
            <a:t> </a:t>
          </a:r>
        </a:p>
      </xdr:txBody>
    </xdr:sp>
    <xdr:clientData/>
  </xdr:twoCellAnchor>
  <xdr:twoCellAnchor>
    <xdr:from>
      <xdr:col>0</xdr:col>
      <xdr:colOff>200025</xdr:colOff>
      <xdr:row>1</xdr:row>
      <xdr:rowOff>0</xdr:rowOff>
    </xdr:from>
    <xdr:to>
      <xdr:col>10</xdr:col>
      <xdr:colOff>523875</xdr:colOff>
      <xdr:row>23</xdr:row>
      <xdr:rowOff>114300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0025" y="161925"/>
          <a:ext cx="6524625"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Introduction </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2013 budgets for 3-year wheat and canola rotations in eastern Washington with intermediate rainfall (12 to 16 inches) were developed to estimate enterprise costs and returns for farm operations currently growing or considering growing canola. The budgets are available in two forms: an interactive Excel workbook and a PDF document showing the default cost and return scenarios. Default budget data are based on a model farm, designed to reflect a “typical” dryland farm operation in the 12 to 16 inch intermediate rainfall regions of Washington (see Budget Assumptions below). Users can adapt the Excel workbook budgets to compare costs and returns between canola and non-canola rotations. </a:t>
          </a:r>
        </a:p>
        <a:p>
          <a:pPr marL="0" marR="0">
            <a:lnSpc>
              <a:spcPct val="107000"/>
            </a:lnSpc>
            <a:spcBef>
              <a:spcPts val="0"/>
            </a:spcBef>
            <a:spcAft>
              <a:spcPts val="800"/>
            </a:spcAft>
          </a:pPr>
          <a:r>
            <a:rPr lang="en-US" sz="1100">
              <a:effectLst/>
              <a:latin typeface="+mn-lt"/>
              <a:ea typeface="Calibri"/>
              <a:cs typeface="Times New Roman"/>
            </a:rPr>
            <a:t>Inserting canola into traditional rotations may affect overall farm costs and returns due to changes in chemical use, weed control in subsequent crops, machinery operations to handle stubble, and the like. Some farmers have experienced increases in wheat yields after growing canola. To allow costs and returns to reflect canola’s rotational impacts, separate budgets are included in the Excel workbook for crops in a “canola rotation” or a (non-canola) “wheat rotation” (see Excel workbook tabs 1 through 8). </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Canola Rotation:</a:t>
          </a:r>
          <a:r>
            <a:rPr lang="en-US" sz="1100" b="1">
              <a:effectLst/>
              <a:latin typeface="+mn-lt"/>
              <a:ea typeface="Calibri"/>
              <a:cs typeface="Times New Roman"/>
            </a:rPr>
            <a:t>  </a:t>
          </a:r>
          <a:r>
            <a:rPr lang="en-US" sz="1100">
              <a:effectLst/>
              <a:latin typeface="+mn-lt"/>
              <a:ea typeface="Calibri"/>
              <a:cs typeface="Times New Roman"/>
            </a:rPr>
            <a:t>Fallow – Winter Wheat – Spring Canola</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Wheat Rotation:</a:t>
          </a:r>
          <a:r>
            <a:rPr lang="en-US" sz="1100" b="1">
              <a:effectLst/>
              <a:latin typeface="+mn-lt"/>
              <a:ea typeface="Calibri"/>
              <a:cs typeface="Times New Roman"/>
            </a:rPr>
            <a:t>  </a:t>
          </a:r>
          <a:r>
            <a:rPr lang="en-US" sz="1100">
              <a:effectLst/>
              <a:latin typeface="+mn-lt"/>
              <a:ea typeface="Calibri"/>
              <a:cs typeface="Times New Roman"/>
            </a:rPr>
            <a:t>Fallow – Winter Wheat – Spring Wheat or Spring Barley</a:t>
          </a:r>
        </a:p>
        <a:p>
          <a:pPr marL="0" marR="0">
            <a:lnSpc>
              <a:spcPct val="107000"/>
            </a:lnSpc>
            <a:spcBef>
              <a:spcPts val="0"/>
            </a:spcBef>
            <a:spcAft>
              <a:spcPts val="800"/>
            </a:spcAft>
          </a:pPr>
          <a:r>
            <a:rPr lang="en-US" sz="1100">
              <a:effectLst/>
              <a:latin typeface="+mn-lt"/>
              <a:ea typeface="Calibri"/>
              <a:cs typeface="Times New Roman"/>
            </a:rPr>
            <a:t>Crops included are Soft White Winter Wheat (SWWW), Hard Red Winter Wheat (HRWW), Soft White Spring Wheat (SWSW), Dark Northern Spring Wheat (DNS), Spring Barley (SB), and Spring Canola (SC).</a:t>
          </a:r>
        </a:p>
      </xdr:txBody>
    </xdr:sp>
    <xdr:clientData/>
  </xdr:twoCellAnchor>
  <xdr:twoCellAnchor>
    <xdr:from>
      <xdr:col>0</xdr:col>
      <xdr:colOff>186783</xdr:colOff>
      <xdr:row>81</xdr:row>
      <xdr:rowOff>29810</xdr:rowOff>
    </xdr:from>
    <xdr:to>
      <xdr:col>10</xdr:col>
      <xdr:colOff>510633</xdr:colOff>
      <xdr:row>214</xdr:row>
      <xdr:rowOff>133350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86783" y="13145735"/>
          <a:ext cx="6524625" cy="21639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Since farming is inherently variable and constantly changing, we hope that the Excel workbook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100" b="1">
              <a:effectLst/>
              <a:latin typeface="+mn-lt"/>
              <a:ea typeface="Calibri"/>
              <a:cs typeface="Times New Roman"/>
            </a:rPr>
            <a:t> </a:t>
          </a:r>
          <a:endParaRPr lang="en-US" sz="1100">
            <a:effectLst/>
            <a:latin typeface="+mn-lt"/>
            <a:ea typeface="Calibri"/>
            <a:cs typeface="Times New Roman"/>
          </a:endParaRP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Capital, labor, and natural resources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Type and size of machinery complement</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Cultural practices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Size of farm enterprise</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Crop yields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Input prices</a:t>
          </a:r>
        </a:p>
        <a:p>
          <a:pPr marL="342900" marR="0" lvl="0" indent="-342900">
            <a:lnSpc>
              <a:spcPct val="107000"/>
            </a:lnSpc>
            <a:spcBef>
              <a:spcPts val="0"/>
            </a:spcBef>
            <a:spcAft>
              <a:spcPts val="0"/>
            </a:spcAft>
            <a:buFont typeface="Symbol"/>
            <a:buChar char=""/>
          </a:pPr>
          <a:r>
            <a:rPr lang="en-US" sz="1100">
              <a:effectLst/>
              <a:latin typeface="+mn-lt"/>
              <a:ea typeface="Calibri"/>
              <a:cs typeface="Times New Roman"/>
            </a:rPr>
            <a:t>Commodity prices</a:t>
          </a:r>
        </a:p>
        <a:p>
          <a:pPr marL="342900" marR="0" lvl="0" indent="-342900">
            <a:lnSpc>
              <a:spcPct val="107000"/>
            </a:lnSpc>
            <a:spcBef>
              <a:spcPts val="0"/>
            </a:spcBef>
            <a:spcAft>
              <a:spcPts val="800"/>
            </a:spcAft>
            <a:buFont typeface="Symbol"/>
            <a:buChar char=""/>
          </a:pPr>
          <a:r>
            <a:rPr lang="en-US" sz="1100">
              <a:effectLst/>
              <a:latin typeface="+mn-lt"/>
              <a:ea typeface="Calibri"/>
              <a:cs typeface="Times New Roman"/>
            </a:rPr>
            <a:t>Management skill</a:t>
          </a:r>
        </a:p>
        <a:p>
          <a:pPr marL="0" marR="0">
            <a:lnSpc>
              <a:spcPct val="107000"/>
            </a:lnSpc>
            <a:spcBef>
              <a:spcPts val="0"/>
            </a:spcBef>
            <a:spcAft>
              <a:spcPts val="800"/>
            </a:spcAft>
          </a:pPr>
          <a:r>
            <a:rPr lang="en-US" sz="1100">
              <a:effectLst/>
              <a:latin typeface="+mn-lt"/>
              <a:ea typeface="Calibri"/>
              <a:cs typeface="Times New Roman"/>
            </a:rPr>
            <a:t>These budgets were created in an Excel workbook format in order to facilitate adjustments for different farming operations. Please note that these budgets will help you estimate future profitability, however, they cannot predict future conditions, both in the marketplace and on your own operation. </a:t>
          </a:r>
        </a:p>
        <a:p>
          <a:pPr marL="0" marR="0">
            <a:lnSpc>
              <a:spcPct val="107000"/>
            </a:lnSpc>
            <a:spcBef>
              <a:spcPts val="0"/>
            </a:spcBef>
            <a:spcAft>
              <a:spcPts val="800"/>
            </a:spcAft>
          </a:pPr>
          <a:r>
            <a:rPr lang="en-US" sz="1100">
              <a:effectLst/>
              <a:latin typeface="+mn-lt"/>
              <a:ea typeface="Calibri"/>
              <a:cs typeface="Times New Roman"/>
            </a:rPr>
            <a:t>Production practices most closely represent those in the 12 to 16 inches intermediate rainfall regions of Washington based on grower input. Seasonal operations are detailed in the </a:t>
          </a:r>
          <a:r>
            <a:rPr lang="en-US" sz="1100" b="1">
              <a:effectLst/>
              <a:latin typeface="+mn-lt"/>
              <a:ea typeface="Calibri"/>
              <a:cs typeface="Times New Roman"/>
            </a:rPr>
            <a:t>Calendar</a:t>
          </a:r>
          <a:r>
            <a:rPr lang="en-US" sz="1100">
              <a:effectLst/>
              <a:latin typeface="+mn-lt"/>
              <a:ea typeface="Calibri"/>
              <a:cs typeface="Times New Roman"/>
            </a:rPr>
            <a:t> tabs. Production practices may be similar among individual farms, but each farm has a unique set of resources with varying levels of productivity and production problems and, therefore, slightly different costs. Farm size, crop rotation, age and type of equipment, soils, and quality of management are crucial factors that influence production costs.</a:t>
          </a:r>
        </a:p>
        <a:p>
          <a:pPr marL="0" marR="0">
            <a:lnSpc>
              <a:spcPct val="107000"/>
            </a:lnSpc>
            <a:spcBef>
              <a:spcPts val="0"/>
            </a:spcBef>
            <a:spcAft>
              <a:spcPts val="800"/>
            </a:spcAft>
          </a:pPr>
          <a:r>
            <a:rPr lang="en-US" sz="1100">
              <a:effectLst/>
              <a:latin typeface="+mn-lt"/>
              <a:ea typeface="Calibri"/>
              <a:cs typeface="Times New Roman"/>
            </a:rPr>
            <a:t>Economic costs are used for these costs and returns estimates. All resources are valued based on market price or opportunity cost. An opportunity cost is determined based on the next most valuable use of the resource. For example, the opportunity cost of farming land you own would be estimated as the highest rental value for that land. The cost and return estimates shown here are typical for growing grain and rotational crops in the intermediate rainfall region in Washington.</a:t>
          </a:r>
        </a:p>
        <a:p>
          <a:pPr marL="0" marR="0">
            <a:lnSpc>
              <a:spcPct val="107000"/>
            </a:lnSpc>
            <a:spcBef>
              <a:spcPts val="0"/>
            </a:spcBef>
            <a:spcAft>
              <a:spcPts val="800"/>
            </a:spcAft>
          </a:pP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Specific Budget Assumptions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The Model Farm</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represent a 3500-acre farm that follows a typical 3-year rotation of winter wheat, spring crop, followed by fallow. Spring canola may be grown in place of a spring wheat or barley. In a typical year, equal proportions would be devoted to each crop in a rotation. </a:t>
          </a:r>
        </a:p>
        <a:p>
          <a:pPr marL="0" marR="0">
            <a:lnSpc>
              <a:spcPct val="107000"/>
            </a:lnSpc>
            <a:spcBef>
              <a:spcPts val="0"/>
            </a:spcBef>
            <a:spcAft>
              <a:spcPts val="800"/>
            </a:spcAft>
          </a:pPr>
          <a:r>
            <a:rPr lang="en-US" sz="1100">
              <a:effectLst/>
              <a:latin typeface="+mn-lt"/>
              <a:ea typeface="Calibri"/>
              <a:cs typeface="Times New Roman"/>
            </a:rPr>
            <a:t>Crop choices will vary by year, depending on relative crop prices and other management considerations. Average annual returns for typical rotations are listed in Table 1, Summary of Returns by Crop ($/acre) and Table 2, Summary of Returns by Rotation ($/acre) in the Summary tab.</a:t>
          </a:r>
        </a:p>
        <a:p>
          <a:pPr marL="0" marR="0">
            <a:lnSpc>
              <a:spcPct val="107000"/>
            </a:lnSpc>
            <a:spcBef>
              <a:spcPts val="0"/>
            </a:spcBef>
            <a:spcAft>
              <a:spcPts val="800"/>
            </a:spcAft>
          </a:pPr>
          <a:r>
            <a:rPr lang="en-US" sz="1100" b="1">
              <a:effectLst/>
              <a:latin typeface="+mn-lt"/>
              <a:ea typeface="Calibri"/>
              <a:cs typeface="Times New Roman"/>
            </a:rPr>
            <a:t>Crop Prices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Crop prices are calculated as three-year average prices received by Washington growers based on Portland prices less an off-coast adjustment for transportation and handling. </a:t>
          </a:r>
        </a:p>
        <a:p>
          <a:pPr marL="0" marR="0">
            <a:lnSpc>
              <a:spcPct val="107000"/>
            </a:lnSpc>
            <a:spcBef>
              <a:spcPts val="0"/>
            </a:spcBef>
            <a:spcAft>
              <a:spcPts val="800"/>
            </a:spcAft>
          </a:pPr>
          <a:r>
            <a:rPr lang="en-US" sz="1100" b="1">
              <a:effectLst/>
              <a:latin typeface="+mn-lt"/>
              <a:ea typeface="Calibri"/>
              <a:cs typeface="Times New Roman"/>
            </a:rPr>
            <a:t>Input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Input costs (green tab) are based on the University of Idaho’s annual survey of agricultural supply companies, or retail prices shared by regional distributors. Input costs in the 2013 Idaho Crop Input Price Summary are considered close estimates for input costs in Washington State. This report is available online at: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 </a:t>
          </a:r>
        </a:p>
        <a:p>
          <a:pPr marL="0" marR="0">
            <a:lnSpc>
              <a:spcPct val="107000"/>
            </a:lnSpc>
            <a:spcBef>
              <a:spcPts val="0"/>
            </a:spcBef>
            <a:spcAft>
              <a:spcPts val="800"/>
            </a:spcAft>
          </a:pPr>
          <a:r>
            <a:rPr lang="en-US" sz="1100" b="1">
              <a:effectLst/>
              <a:latin typeface="+mn-lt"/>
              <a:ea typeface="Calibri"/>
              <a:cs typeface="Times New Roman"/>
            </a:rPr>
            <a:t>Machinery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 machinery complement and per acre machinery cost estimates are in the last two tabs in the Excel workbook. A “machinery complement” is a set of common machinery and implements that would be sufficient for performing standard operations in crop production on a farm in a given region. </a:t>
          </a:r>
        </a:p>
        <a:p>
          <a:pPr marL="0" marR="0">
            <a:lnSpc>
              <a:spcPct val="107000"/>
            </a:lnSpc>
            <a:spcBef>
              <a:spcPts val="0"/>
            </a:spcBef>
            <a:spcAft>
              <a:spcPts val="800"/>
            </a:spcAft>
          </a:pPr>
          <a:r>
            <a:rPr lang="en-US" sz="1100">
              <a:effectLst/>
              <a:latin typeface="+mn-lt"/>
              <a:ea typeface="Calibri"/>
              <a:cs typeface="Times New Roman"/>
            </a:rPr>
            <a:t>The machinery complement used in these budgets was constructed based on farmer and expert input, and is intended to be representative of a typical dryland farm in the 12 to 16 inches intermediate rainfall regions of Washington. </a:t>
          </a:r>
        </a:p>
        <a:p>
          <a:pPr marL="0" marR="0">
            <a:lnSpc>
              <a:spcPct val="107000"/>
            </a:lnSpc>
            <a:spcBef>
              <a:spcPts val="0"/>
            </a:spcBef>
            <a:spcAft>
              <a:spcPts val="800"/>
            </a:spcAft>
          </a:pPr>
          <a:r>
            <a:rPr lang="en-US" sz="1100">
              <a:effectLst/>
              <a:latin typeface="+mn-lt"/>
              <a:ea typeface="Calibri"/>
              <a:cs typeface="Times New Roman"/>
            </a:rPr>
            <a:t>The machinery complement was entered into the University of Idaho’s Crop Machinery Cost Calculator to obtain per acre machinery costs in Table 4 on the</a:t>
          </a:r>
          <a:r>
            <a:rPr lang="en-US" sz="1100" b="1">
              <a:effectLst/>
              <a:latin typeface="+mn-lt"/>
              <a:ea typeface="Calibri"/>
              <a:cs typeface="Times New Roman"/>
            </a:rPr>
            <a:t> </a:t>
          </a:r>
          <a:r>
            <a:rPr lang="en-US" sz="1100">
              <a:effectLst/>
              <a:latin typeface="+mn-lt"/>
              <a:ea typeface="Calibri"/>
              <a:cs typeface="Times New Roman"/>
            </a:rPr>
            <a:t>Machinery Costs (blue) tab. The per acre machinery costs for each crop and fallow cycle (Tables 5 through 16) feed into the individual crop budgets (tabs numbered 1 through 8). </a:t>
          </a:r>
        </a:p>
        <a:p>
          <a:pPr marL="0" marR="0">
            <a:lnSpc>
              <a:spcPct val="107000"/>
            </a:lnSpc>
            <a:spcBef>
              <a:spcPts val="0"/>
            </a:spcBef>
            <a:spcAft>
              <a:spcPts val="800"/>
            </a:spcAft>
          </a:pPr>
          <a:r>
            <a:rPr lang="en-US" sz="1100">
              <a:effectLst/>
              <a:latin typeface="+mn-lt"/>
              <a:ea typeface="Calibri"/>
              <a:cs typeface="Times New Roman"/>
            </a:rPr>
            <a:t>Machinery fixed costs include depreciation, interest, property taxes, insurance, and housing for all machinery used by the operation. Given ownership of a specific machinery complement, these fixed costs are incurred by the overall farm operation and are incurred whether or not crops are grown. </a:t>
          </a:r>
          <a:r>
            <a:rPr lang="en-US" sz="1100" b="1">
              <a:effectLst/>
              <a:latin typeface="+mn-lt"/>
              <a:ea typeface="Calibri"/>
              <a:cs typeface="Times New Roman"/>
            </a:rPr>
            <a:t>The user’s machinery costs will vary if farm size, equipment size and value, or annual hours of use differ significantly from the values used in these budgets.</a:t>
          </a:r>
          <a:r>
            <a:rPr lang="en-US" sz="1100">
              <a:effectLst/>
              <a:latin typeface="+mn-lt"/>
              <a:ea typeface="Calibri"/>
              <a:cs typeface="Times New Roman"/>
            </a:rPr>
            <a:t> </a:t>
          </a:r>
        </a:p>
        <a:p>
          <a:pPr marL="0" marR="0">
            <a:lnSpc>
              <a:spcPct val="107000"/>
            </a:lnSpc>
            <a:spcBef>
              <a:spcPts val="0"/>
            </a:spcBef>
            <a:spcAft>
              <a:spcPts val="800"/>
            </a:spcAft>
          </a:pPr>
          <a:r>
            <a:rPr lang="en-US" sz="1100">
              <a:effectLst/>
              <a:latin typeface="+mn-lt"/>
              <a:ea typeface="Calibri"/>
              <a:cs typeface="Times New Roman"/>
            </a:rPr>
            <a:t>Machinery cost files are available upon request. The University of Idaho Crop Machinery Cost Calculator is available at: </a:t>
          </a:r>
          <a:r>
            <a:rPr lang="en-US" sz="1100" u="sng">
              <a:effectLst/>
              <a:latin typeface="+mn-lt"/>
              <a:ea typeface="Calibri"/>
              <a:cs typeface="Times New Roman"/>
            </a:rPr>
            <a:t>http://web.cals.uidaho.edu/idahoagbiz/management-tools/</a:t>
          </a:r>
          <a:endParaRPr lang="en-US" sz="1100">
            <a:effectLst/>
            <a:latin typeface="+mn-lt"/>
            <a:ea typeface="Calibri"/>
            <a:cs typeface="Times New Roman"/>
          </a:endParaRPr>
        </a:p>
        <a:p>
          <a:pPr marL="0" marR="0">
            <a:lnSpc>
              <a:spcPct val="107000"/>
            </a:lnSpc>
            <a:spcBef>
              <a:spcPts val="0"/>
            </a:spcBef>
            <a:spcAft>
              <a:spcPts val="800"/>
            </a:spcAft>
          </a:pPr>
          <a:r>
            <a:rPr lang="en-US" sz="1100" b="1">
              <a:effectLst/>
              <a:latin typeface="+mn-lt"/>
              <a:ea typeface="Calibri"/>
              <a:cs typeface="Times New Roman"/>
            </a:rPr>
            <a:t>Labor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Labor to operate machinery is valued at $20.00 per hour. Labor rates include a base wage plus a percentage for Social Security, Medicare, unemployment insurance, and other labor overhead expenses. Labor overhead amounts to 15 percent for non-machine labor and 30 percent for machinery labor. The base wage is based on average hourly wages reported by the Washington State Employment Security Department in the 2011 Agricultural Workforce Report. </a:t>
          </a:r>
        </a:p>
        <a:p>
          <a:pPr marL="0" marR="0">
            <a:lnSpc>
              <a:spcPct val="107000"/>
            </a:lnSpc>
            <a:spcBef>
              <a:spcPts val="0"/>
            </a:spcBef>
            <a:spcAft>
              <a:spcPts val="800"/>
            </a:spcAft>
          </a:pPr>
          <a:r>
            <a:rPr lang="en-US" sz="1100" b="1">
              <a:effectLst/>
              <a:latin typeface="+mn-lt"/>
              <a:ea typeface="Calibri"/>
              <a:cs typeface="Times New Roman"/>
            </a:rPr>
            <a:t>Storage and Transportation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These budgets assume all crops are sold at harvest, so no storage costs are incurred. However, monthly storage costs can be added on individual crop budget tabs if relevant to an operation. Storage rates from the Input Cost tab are per bushel, per month, based on regional elevator storage rates. </a:t>
          </a:r>
        </a:p>
        <a:p>
          <a:pPr marL="0" marR="0">
            <a:lnSpc>
              <a:spcPct val="107000"/>
            </a:lnSpc>
            <a:spcBef>
              <a:spcPts val="0"/>
            </a:spcBef>
            <a:spcAft>
              <a:spcPts val="800"/>
            </a:spcAft>
          </a:pPr>
          <a:r>
            <a:rPr lang="en-US" sz="1100">
              <a:effectLst/>
              <a:latin typeface="+mn-lt"/>
              <a:ea typeface="Calibri"/>
              <a:cs typeface="Times New Roman"/>
            </a:rPr>
            <a:t>Harvest transportation costs from field to local elevator/storage (average 10 miles one-way) are included in per acre machinery cost estimates. Some farmers may own or hire larger trucks for longer distance hauling. Long-distance hauling costs can be added by the user on individual crop budget tabs by entering the hauling distance, rate per mile, and load volume. The default scenario for wheat and barley assumes a 100-mile roundtrip to either a rail or river sub-terminal, based on hired truck rates as quoted by several regional companies.</a:t>
          </a:r>
        </a:p>
        <a:p>
          <a:pPr marL="0" marR="0">
            <a:lnSpc>
              <a:spcPct val="107000"/>
            </a:lnSpc>
            <a:spcBef>
              <a:spcPts val="0"/>
            </a:spcBef>
            <a:spcAft>
              <a:spcPts val="800"/>
            </a:spcAft>
          </a:pPr>
          <a:r>
            <a:rPr lang="en-US" sz="1100" b="1">
              <a:effectLst/>
              <a:latin typeface="+mn-lt"/>
              <a:ea typeface="Calibri"/>
              <a:cs typeface="Times New Roman"/>
            </a:rPr>
            <a:t>Land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Land costs are based on a typical lease agreement for this region.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a:t>
          </a:r>
        </a:p>
        <a:p>
          <a:pPr marL="0" marR="0">
            <a:lnSpc>
              <a:spcPct val="107000"/>
            </a:lnSpc>
            <a:spcBef>
              <a:spcPts val="0"/>
            </a:spcBef>
            <a:spcAft>
              <a:spcPts val="800"/>
            </a:spcAft>
          </a:pPr>
          <a:r>
            <a:rPr lang="en-US" sz="1100">
              <a:effectLst/>
              <a:latin typeface="+mn-lt"/>
              <a:ea typeface="Calibri"/>
              <a:cs typeface="Times New Roman"/>
            </a:rPr>
            <a:t>A typical lease agreement in this region is a one-third land owner and two-thirds tenant crop share, with the land owner paying land taxes, one-third of the fertilizer cost, one-third of the chemical cost, and one-third of the crop insurance. The tenant covers all other production expenses. </a:t>
          </a:r>
        </a:p>
        <a:p>
          <a:pPr marL="0" marR="0">
            <a:lnSpc>
              <a:spcPct val="107000"/>
            </a:lnSpc>
            <a:spcBef>
              <a:spcPts val="0"/>
            </a:spcBef>
            <a:spcAft>
              <a:spcPts val="800"/>
            </a:spcAft>
          </a:pPr>
          <a:r>
            <a:rPr lang="en-US" sz="1100">
              <a:effectLst/>
              <a:latin typeface="+mn-lt"/>
              <a:ea typeface="Calibri"/>
              <a:cs typeface="Times New Roman"/>
            </a:rPr>
            <a:t>To approximate rental cost or forgone rental returns, the default land cost is calculated as one-third gross revenue minus one-third fertilizer, pesticide, and crop insurance costs. The crop-share percentage can be adjusted by crop on the individual crop budget tabs. </a:t>
          </a:r>
        </a:p>
        <a:p>
          <a:pPr marL="0" marR="0">
            <a:lnSpc>
              <a:spcPct val="107000"/>
            </a:lnSpc>
            <a:spcBef>
              <a:spcPts val="0"/>
            </a:spcBef>
            <a:spcAft>
              <a:spcPts val="800"/>
            </a:spcAft>
          </a:pPr>
          <a:r>
            <a:rPr lang="en-US" sz="1100">
              <a:effectLst/>
              <a:latin typeface="+mn-lt"/>
              <a:ea typeface="Calibri"/>
              <a:cs typeface="Times New Roman"/>
            </a:rPr>
            <a:t>This valuable tool reveals how different factors affect revenue for landlords and operators differently, such as crop and input price increases, as well as cropping choices. Note that pea, lentil, and garbanzo crop-share arrangements are typically split with a one-fourth, three-fourths cost share.</a:t>
          </a:r>
        </a:p>
        <a:p>
          <a:pPr marL="0" marR="0">
            <a:lnSpc>
              <a:spcPct val="107000"/>
            </a:lnSpc>
            <a:spcBef>
              <a:spcPts val="0"/>
            </a:spcBef>
            <a:spcAft>
              <a:spcPts val="800"/>
            </a:spcAft>
          </a:pPr>
          <a:r>
            <a:rPr lang="en-US" sz="1100" b="1">
              <a:effectLst/>
              <a:latin typeface="+mn-lt"/>
              <a:ea typeface="Calibri"/>
              <a:cs typeface="Times New Roman"/>
            </a:rPr>
            <a:t>Interest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Interest on operating capital is charged on total operating costs for nine months and calculated at a nominal rate of 5.75 percent. The operating interest rate can be changed on the Input Costs tab. </a:t>
          </a:r>
        </a:p>
        <a:p>
          <a:pPr marL="0" marR="0">
            <a:lnSpc>
              <a:spcPct val="107000"/>
            </a:lnSpc>
            <a:spcBef>
              <a:spcPts val="0"/>
            </a:spcBef>
            <a:spcAft>
              <a:spcPts val="800"/>
            </a:spcAft>
          </a:pPr>
          <a:r>
            <a:rPr lang="en-US" sz="1100" b="1">
              <a:effectLst/>
              <a:latin typeface="+mn-lt"/>
              <a:ea typeface="Calibri"/>
              <a:cs typeface="Times New Roman"/>
            </a:rPr>
            <a:t>Other Costs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A general overhead charge of 2.5 percent of operating expenses is included to cover unallocated costs such as office expenses, phone service, legal and accounting fees, and utilities. A management fee is charged at the rate of 5 percent of gross revenue, rounded to the nearest dollar, to cover management labor. Both overhead and management fee rates can be changed on the Input Costs tab.</a:t>
          </a:r>
        </a:p>
        <a:p>
          <a:endParaRPr lang="en-US" sz="1100">
            <a:solidFill>
              <a:schemeClr val="dk1"/>
            </a:solidFill>
            <a:effectLst/>
            <a:latin typeface="+mn-lt"/>
            <a:ea typeface="+mn-ea"/>
            <a:cs typeface="+mn-cs"/>
          </a:endParaRPr>
        </a:p>
        <a:p>
          <a:br>
            <a:rPr lang="en-US" sz="1100" u="sng">
              <a:solidFill>
                <a:schemeClr val="dk1"/>
              </a:solidFill>
              <a:effectLst/>
              <a:latin typeface="+mn-lt"/>
              <a:ea typeface="+mn-ea"/>
              <a:cs typeface="+mn-cs"/>
            </a:rPr>
          </a:br>
          <a:endParaRPr lang="en-US" sz="1100"/>
        </a:p>
      </xdr:txBody>
    </xdr:sp>
    <xdr:clientData/>
  </xdr:twoCellAnchor>
  <xdr:twoCellAnchor>
    <xdr:from>
      <xdr:col>0</xdr:col>
      <xdr:colOff>171450</xdr:colOff>
      <xdr:row>216</xdr:row>
      <xdr:rowOff>0</xdr:rowOff>
    </xdr:from>
    <xdr:to>
      <xdr:col>10</xdr:col>
      <xdr:colOff>533400</xdr:colOff>
      <xdr:row>227</xdr:row>
      <xdr:rowOff>47625</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71450" y="34975800"/>
          <a:ext cx="65627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Conclusions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Growers using this budget should closely examine the budget assumptions and make adjustments in the Excel workbook to reflect their particular operation. Adjustments in the variable costs can easily be made without affecting the overall accuracy of the budget information. </a:t>
          </a:r>
        </a:p>
        <a:p>
          <a:pPr marL="0" marR="0">
            <a:lnSpc>
              <a:spcPct val="107000"/>
            </a:lnSpc>
            <a:spcBef>
              <a:spcPts val="0"/>
            </a:spcBef>
            <a:spcAft>
              <a:spcPts val="800"/>
            </a:spcAft>
          </a:pPr>
          <a:r>
            <a:rPr lang="en-US" sz="1100">
              <a:effectLst/>
              <a:latin typeface="+mn-lt"/>
              <a:ea typeface="Calibri"/>
              <a:cs typeface="Times New Roman"/>
            </a:rPr>
            <a:t>Machinery costs are more difficult to adjust, due to the underlying complexity of machinery cost calculations. A separate machinery cost calculator program is used to develop the costs used in these budgets, which are based on specific machinery values, years of life, repair costs, machine widths, tractor horsepower, etc. The machinery cost program and datasets specific to this budget are available upon request.</a:t>
          </a:r>
        </a:p>
        <a:p>
          <a:endParaRPr lang="en-US" sz="1100"/>
        </a:p>
      </xdr:txBody>
    </xdr:sp>
    <xdr:clientData/>
  </xdr:twoCellAnchor>
  <xdr:twoCellAnchor>
    <xdr:from>
      <xdr:col>0</xdr:col>
      <xdr:colOff>180975</xdr:colOff>
      <xdr:row>228</xdr:row>
      <xdr:rowOff>57150</xdr:rowOff>
    </xdr:from>
    <xdr:to>
      <xdr:col>10</xdr:col>
      <xdr:colOff>542925</xdr:colOff>
      <xdr:row>241</xdr:row>
      <xdr:rowOff>38100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80975" y="36976050"/>
          <a:ext cx="65627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References</a:t>
          </a:r>
          <a:endParaRPr lang="en-US" sz="1100">
            <a:effectLst/>
            <a:latin typeface="+mn-lt"/>
            <a:ea typeface="Calibri"/>
            <a:cs typeface="Times New Roman"/>
          </a:endParaRPr>
        </a:p>
        <a:p>
          <a:pPr marL="457200" marR="0" indent="-457200">
            <a:lnSpc>
              <a:spcPct val="107000"/>
            </a:lnSpc>
            <a:spcBef>
              <a:spcPts val="0"/>
            </a:spcBef>
            <a:spcAft>
              <a:spcPts val="800"/>
            </a:spcAft>
          </a:pPr>
          <a:r>
            <a:rPr lang="en-US" sz="1100">
              <a:effectLst/>
              <a:latin typeface="+mn-lt"/>
              <a:ea typeface="Calibri"/>
              <a:cs typeface="Times New Roman"/>
            </a:rPr>
            <a:t>Patterson, P.E. and K. Painter. 2013. 2013 Crop Input Cost Summary. Agriculture Economics Extension Series No. 13-03. University of Idaho. </a:t>
          </a:r>
          <a:r>
            <a:rPr lang="en-US" sz="1100" u="sng">
              <a:solidFill>
                <a:srgbClr val="0563C1"/>
              </a:solidFill>
              <a:effectLst/>
              <a:latin typeface="+mn-lt"/>
              <a:ea typeface="Calibri"/>
              <a:cs typeface="Times New Roman"/>
              <a:hlinkClick xmlns:r="http://schemas.openxmlformats.org/officeDocument/2006/relationships" r:id=""/>
            </a:rPr>
            <a:t>http://web.cals.uidaho.edu/idahoagbiz/files/2014/01/IDInputCosts20131.pdf</a:t>
          </a:r>
          <a:r>
            <a:rPr lang="en-US" sz="1100">
              <a:effectLst/>
              <a:latin typeface="+mn-lt"/>
              <a:ea typeface="Calibri"/>
              <a:cs typeface="Times New Roman"/>
            </a:rPr>
            <a:t>.</a:t>
          </a:r>
        </a:p>
        <a:p>
          <a:pPr marL="457200" marR="0" indent="-457200">
            <a:lnSpc>
              <a:spcPct val="107000"/>
            </a:lnSpc>
            <a:spcBef>
              <a:spcPts val="0"/>
            </a:spcBef>
            <a:spcAft>
              <a:spcPts val="800"/>
            </a:spcAft>
          </a:pPr>
          <a:r>
            <a:rPr lang="en-US" sz="1100">
              <a:effectLst/>
              <a:latin typeface="+mn-lt"/>
              <a:ea typeface="Calibri"/>
              <a:cs typeface="Times New Roman"/>
            </a:rPr>
            <a:t>Washington State Employment Security Department. 2012. 2011 Agriculture Work Force Report. Labor Market and Economic Analysis. https://fortress.wa.gov/esd/employmentdata/docs/industry-reports/ag-annual-2011.pdf.</a:t>
          </a:r>
        </a:p>
        <a:p>
          <a:pPr marL="457200" marR="0" indent="-457200">
            <a:lnSpc>
              <a:spcPct val="107000"/>
            </a:lnSpc>
            <a:spcBef>
              <a:spcPts val="0"/>
            </a:spcBef>
            <a:spcAft>
              <a:spcPts val="800"/>
            </a:spcAft>
          </a:pPr>
          <a:r>
            <a:rPr lang="en-US" sz="1100">
              <a:effectLst/>
              <a:latin typeface="+mn-lt"/>
              <a:ea typeface="Calibri"/>
              <a:cs typeface="Times New Roman"/>
            </a:rPr>
            <a:t>University of Idaho. 2015. Crop Machinery Cost Calculator. Extension Software. University of Idaho. http://web.cals.uidaho.edu/idahoagbiz/management-tools/. </a:t>
          </a:r>
        </a:p>
        <a:p>
          <a:endParaRPr lang="en-US" sz="1100"/>
        </a:p>
      </xdr:txBody>
    </xdr:sp>
    <xdr:clientData/>
  </xdr:twoCellAnchor>
  <xdr:twoCellAnchor>
    <xdr:from>
      <xdr:col>0</xdr:col>
      <xdr:colOff>161925</xdr:colOff>
      <xdr:row>242</xdr:row>
      <xdr:rowOff>47625</xdr:rowOff>
    </xdr:from>
    <xdr:to>
      <xdr:col>10</xdr:col>
      <xdr:colOff>523875</xdr:colOff>
      <xdr:row>261</xdr:row>
      <xdr:rowOff>28575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61925" y="39233475"/>
          <a:ext cx="6562725" cy="3057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100" b="1">
              <a:effectLst/>
              <a:latin typeface="+mn-lt"/>
              <a:ea typeface="Calibri"/>
              <a:cs typeface="Times New Roman"/>
            </a:rPr>
            <a:t>Acknowledgements</a:t>
          </a:r>
          <a:endParaRPr lang="en-US" sz="1100">
            <a:effectLst/>
            <a:latin typeface="+mn-lt"/>
            <a:ea typeface="Calibri"/>
            <a:cs typeface="Times New Roman"/>
          </a:endParaRPr>
        </a:p>
        <a:p>
          <a:pPr marL="0" marR="0">
            <a:lnSpc>
              <a:spcPct val="107000"/>
            </a:lnSpc>
            <a:spcBef>
              <a:spcPts val="0"/>
            </a:spcBef>
            <a:spcAft>
              <a:spcPts val="800"/>
            </a:spcAft>
          </a:pPr>
          <a:r>
            <a:rPr lang="en-US" sz="1100">
              <a:effectLst/>
              <a:latin typeface="+mn-lt"/>
              <a:ea typeface="Calibri"/>
              <a:cs typeface="Times New Roman"/>
            </a:rPr>
            <a:t>We wish to thank everyone who helped gather all of the information needed to create these budgets. First and foremost, we thank the farmers who were willing to take the time to share their enterprise information in order to create this Excel workbook. Without their assistance we would not be able to provide this critical information to others. </a:t>
          </a:r>
        </a:p>
        <a:p>
          <a:pPr marL="0" marR="0">
            <a:lnSpc>
              <a:spcPct val="107000"/>
            </a:lnSpc>
            <a:spcBef>
              <a:spcPts val="0"/>
            </a:spcBef>
            <a:spcAft>
              <a:spcPts val="800"/>
            </a:spcAft>
          </a:pPr>
          <a:r>
            <a:rPr lang="en-US" sz="1100">
              <a:effectLst/>
              <a:latin typeface="+mn-lt"/>
              <a:ea typeface="Calibri"/>
              <a:cs typeface="Times New Roman"/>
            </a:rPr>
            <a:t>We thank Kate Painter and Hilary Donlon at the University of Idaho for allowing their budgets to be adapted for this project and for sharing data from complementary work from the Regional Approaches to Climate Change, Pacific Northwest Agriculture (REACCH) project, funded through award #2011-68002-30191 from USDA National Institute for Food and Agriculture (NIFA). We also thank the reviewers for their edits and comments.</a:t>
          </a:r>
        </a:p>
        <a:p>
          <a:pPr marL="0" marR="0">
            <a:lnSpc>
              <a:spcPct val="107000"/>
            </a:lnSpc>
            <a:spcBef>
              <a:spcPts val="0"/>
            </a:spcBef>
            <a:spcAft>
              <a:spcPts val="800"/>
            </a:spcAft>
          </a:pPr>
          <a:r>
            <a:rPr lang="en-US" sz="1100">
              <a:effectLst/>
              <a:latin typeface="+mn-lt"/>
              <a:ea typeface="Calibri"/>
              <a:cs typeface="Times New Roman"/>
            </a:rPr>
            <a:t>We take full responsibility for any errors in these budgets. Please feel free to contact us with any comments or suggestions.</a:t>
          </a:r>
        </a:p>
        <a:p>
          <a:pPr marL="0" marR="0">
            <a:lnSpc>
              <a:spcPct val="107000"/>
            </a:lnSpc>
            <a:spcBef>
              <a:spcPts val="0"/>
            </a:spcBef>
            <a:spcAft>
              <a:spcPts val="800"/>
            </a:spcAft>
          </a:pPr>
          <a:r>
            <a:rPr lang="en-US" sz="1100" b="1">
              <a:effectLst/>
              <a:latin typeface="+mn-lt"/>
              <a:ea typeface="Calibri"/>
              <a:cs typeface="Times New Roman"/>
            </a:rPr>
            <a:t>The Excel workbook and PDF are available online:</a:t>
          </a:r>
          <a:endParaRPr lang="en-US" sz="1100">
            <a:effectLst/>
            <a:latin typeface="+mn-lt"/>
            <a:ea typeface="Calibri"/>
            <a:cs typeface="Times New Roman"/>
          </a:endParaRPr>
        </a:p>
        <a:p>
          <a:pPr marL="0" marR="0">
            <a:lnSpc>
              <a:spcPct val="107000"/>
            </a:lnSpc>
            <a:spcBef>
              <a:spcPts val="0"/>
            </a:spcBef>
            <a:spcAft>
              <a:spcPts val="800"/>
            </a:spcAft>
          </a:pPr>
          <a:r>
            <a:rPr lang="en-US" sz="1100" u="sng">
              <a:effectLst/>
              <a:latin typeface="+mn-lt"/>
              <a:ea typeface="Calibri"/>
              <a:cs typeface="Times New Roman"/>
            </a:rPr>
            <a:t>http://css.wsu.edu/biofuels/</a:t>
          </a:r>
          <a:r>
            <a:rPr lang="en-US" sz="1100">
              <a:effectLst/>
              <a:latin typeface="+mn-lt"/>
              <a:ea typeface="Calibri"/>
              <a:cs typeface="Times New Roman"/>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10583</xdr:colOff>
      <xdr:row>50</xdr:row>
      <xdr:rowOff>31750</xdr:rowOff>
    </xdr:from>
    <xdr:to>
      <xdr:col>3</xdr:col>
      <xdr:colOff>275167</xdr:colOff>
      <xdr:row>52</xdr:row>
      <xdr:rowOff>31750</xdr:rowOff>
    </xdr:to>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flipH="1">
          <a:off x="3122083" y="8657167"/>
          <a:ext cx="264584" cy="28575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10583</xdr:colOff>
      <xdr:row>50</xdr:row>
      <xdr:rowOff>31750</xdr:rowOff>
    </xdr:from>
    <xdr:to>
      <xdr:col>3</xdr:col>
      <xdr:colOff>296333</xdr:colOff>
      <xdr:row>54</xdr:row>
      <xdr:rowOff>116416</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H="1">
          <a:off x="3122083" y="8657167"/>
          <a:ext cx="285750" cy="656166"/>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1085851</xdr:colOff>
      <xdr:row>47</xdr:row>
      <xdr:rowOff>57149</xdr:rowOff>
    </xdr:from>
    <xdr:to>
      <xdr:col>4</xdr:col>
      <xdr:colOff>278342</xdr:colOff>
      <xdr:row>50</xdr:row>
      <xdr:rowOff>2115</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2295526" y="7686674"/>
          <a:ext cx="2040466" cy="430741"/>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050"/>
            <a:t>Click on these cells to select</a:t>
          </a:r>
          <a:r>
            <a:rPr lang="en-US" sz="1050" baseline="0"/>
            <a:t> </a:t>
          </a:r>
          <a:r>
            <a:rPr lang="en-US" sz="1050"/>
            <a:t>other </a:t>
          </a:r>
          <a:r>
            <a:rPr lang="en-US" sz="1050" baseline="0"/>
            <a:t>rotations from drop-down menu</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714377</xdr:colOff>
      <xdr:row>59</xdr:row>
      <xdr:rowOff>9525</xdr:rowOff>
    </xdr:from>
    <xdr:to>
      <xdr:col>5</xdr:col>
      <xdr:colOff>123825</xdr:colOff>
      <xdr:row>68</xdr:row>
      <xdr:rowOff>66675</xdr:rowOff>
    </xdr:to>
    <xdr:cxnSp macro="">
      <xdr:nvCxnSpPr>
        <xdr:cNvPr id="5" name="Straight Arrow Connector 4">
          <a:extLst>
            <a:ext uri="{FF2B5EF4-FFF2-40B4-BE49-F238E27FC236}">
              <a16:creationId xmlns:a16="http://schemas.microsoft.com/office/drawing/2014/main" id="{00000000-0008-0000-1000-000005000000}"/>
            </a:ext>
          </a:extLst>
        </xdr:cNvPr>
        <xdr:cNvCxnSpPr/>
      </xdr:nvCxnSpPr>
      <xdr:spPr>
        <a:xfrm flipH="1">
          <a:off x="3581402" y="9953625"/>
          <a:ext cx="1619248" cy="1447800"/>
        </a:xfrm>
        <a:prstGeom prst="straightConnector1">
          <a:avLst/>
        </a:prstGeom>
        <a:ln>
          <a:solidFill>
            <a:srgbClr val="FF000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115729</xdr:colOff>
      <xdr:row>55</xdr:row>
      <xdr:rowOff>156480</xdr:rowOff>
    </xdr:from>
    <xdr:to>
      <xdr:col>8</xdr:col>
      <xdr:colOff>381000</xdr:colOff>
      <xdr:row>59</xdr:row>
      <xdr:rowOff>78577</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5306854" y="10086293"/>
          <a:ext cx="2277427" cy="648378"/>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l"/>
          <a:r>
            <a:rPr lang="en-US" sz="1100"/>
            <a:t>Increase or decrease the number of passes for</a:t>
          </a:r>
          <a:r>
            <a:rPr lang="en-US" sz="1100" baseline="0"/>
            <a:t> each operation by changing the numbers in </a:t>
          </a:r>
          <a:r>
            <a:rPr lang="en-US" sz="1100" b="1" baseline="0">
              <a:solidFill>
                <a:srgbClr val="FF0000"/>
              </a:solidFill>
            </a:rPr>
            <a:t>red text</a:t>
          </a:r>
          <a:endParaRPr lang="en-US" sz="1100" b="1">
            <a:solidFill>
              <a:srgbClr val="FF0000"/>
            </a:solidFill>
          </a:endParaRPr>
        </a:p>
      </xdr:txBody>
    </xdr:sp>
    <xdr:clientData/>
  </xdr:twoCellAnchor>
  <xdr:twoCellAnchor>
    <xdr:from>
      <xdr:col>12</xdr:col>
      <xdr:colOff>529166</xdr:colOff>
      <xdr:row>58</xdr:row>
      <xdr:rowOff>232832</xdr:rowOff>
    </xdr:from>
    <xdr:to>
      <xdr:col>13</xdr:col>
      <xdr:colOff>201083</xdr:colOff>
      <xdr:row>60</xdr:row>
      <xdr:rowOff>21167</xdr:rowOff>
    </xdr:to>
    <xdr:cxnSp macro="">
      <xdr:nvCxnSpPr>
        <xdr:cNvPr id="8" name="Straight Arrow Connector 7">
          <a:extLst>
            <a:ext uri="{FF2B5EF4-FFF2-40B4-BE49-F238E27FC236}">
              <a16:creationId xmlns:a16="http://schemas.microsoft.com/office/drawing/2014/main" id="{00000000-0008-0000-1000-000008000000}"/>
            </a:ext>
          </a:extLst>
        </xdr:cNvPr>
        <xdr:cNvCxnSpPr/>
      </xdr:nvCxnSpPr>
      <xdr:spPr>
        <a:xfrm>
          <a:off x="10234083" y="10445749"/>
          <a:ext cx="285750" cy="179918"/>
        </a:xfrm>
        <a:prstGeom prst="straightConnector1">
          <a:avLst/>
        </a:prstGeom>
        <a:ln>
          <a:solidFill>
            <a:srgbClr val="00B050"/>
          </a:solidFill>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490803</xdr:colOff>
      <xdr:row>55</xdr:row>
      <xdr:rowOff>95628</xdr:rowOff>
    </xdr:from>
    <xdr:to>
      <xdr:col>14</xdr:col>
      <xdr:colOff>603250</xdr:colOff>
      <xdr:row>59</xdr:row>
      <xdr:rowOff>1587</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10195720" y="9832295"/>
          <a:ext cx="1424780" cy="615042"/>
        </a:xfrm>
        <a:prstGeom prst="rect">
          <a:avLst/>
        </a:prstGeom>
        <a:solidFill>
          <a:schemeClr val="lt1"/>
        </a:solidFill>
        <a:ln w="1905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B050"/>
              </a:solidFill>
            </a:rPr>
            <a:t>Green</a:t>
          </a:r>
          <a:r>
            <a:rPr lang="en-US" sz="1100" b="1" baseline="0">
              <a:solidFill>
                <a:srgbClr val="00B050"/>
              </a:solidFill>
            </a:rPr>
            <a:t> </a:t>
          </a:r>
          <a:r>
            <a:rPr lang="en-US" sz="1100" baseline="0"/>
            <a:t>indicates the crop's place in the full rotation</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otations" displayName="Rotations" ref="A6:J13" headerRowCount="0" totalsRowShown="0" headerRowDxfId="22" dataDxfId="21" tableBorderDxfId="20">
  <tableColumns count="10">
    <tableColumn id="1" xr3:uid="{00000000-0010-0000-0000-000001000000}" name="Column1" headerRowDxfId="19" dataDxfId="18"/>
    <tableColumn id="2" xr3:uid="{00000000-0010-0000-0000-000002000000}" name="Column2" headerRowDxfId="17" dataDxfId="16"/>
    <tableColumn id="3" xr3:uid="{00000000-0010-0000-0000-000003000000}" name="Column3" headerRowDxfId="15" dataDxfId="14">
      <calculatedColumnFormula>AVERAGE(Summary!H31,Summary!H34)</calculatedColumnFormula>
    </tableColumn>
    <tableColumn id="6" xr3:uid="{00000000-0010-0000-0000-000006000000}" name="Column6" headerRowDxfId="13" dataDxfId="12">
      <calculatedColumnFormula>AVERAGE(Summary!I32,Summary!I31,Summary!I34)</calculatedColumnFormula>
    </tableColumn>
    <tableColumn id="10" xr3:uid="{00000000-0010-0000-0000-00000A000000}" name="Column10" headerRowDxfId="11" dataDxfId="10"/>
    <tableColumn id="4" xr3:uid="{00000000-0010-0000-0000-000004000000}" name="Column4" headerRowDxfId="9" dataDxfId="8"/>
    <tableColumn id="7" xr3:uid="{00000000-0010-0000-0000-000007000000}" name="Column7" headerRowDxfId="7" dataDxfId="6"/>
    <tableColumn id="5" xr3:uid="{00000000-0010-0000-0000-000005000000}" name="Column5" headerRowDxfId="5" dataDxfId="4">
      <calculatedColumnFormula>AVERAGE(Summary!M32,Summary!M31,Summary!M34)</calculatedColumnFormula>
    </tableColumn>
    <tableColumn id="8" xr3:uid="{00000000-0010-0000-0000-000008000000}" name="Column8" headerRowDxfId="3" dataDxfId="2"/>
    <tableColumn id="9" xr3:uid="{00000000-0010-0000-0000-000009000000}" name="Column9" headerRowDxfId="1"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ccracke@wsu.edu" TargetMode="External"/><Relationship Id="rId2" Type="http://schemas.openxmlformats.org/officeDocument/2006/relationships/hyperlink" Target="mailto:kpainter@uidaho.edu" TargetMode="External"/><Relationship Id="rId1" Type="http://schemas.openxmlformats.org/officeDocument/2006/relationships/hyperlink" Target="http://css.wsu.edu/biofuel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ccracke@wsu.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eb.cals.uidaho.edu/idahoagbiz/enterprise-budget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dms.net/LDat/ld279006.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AA51"/>
  <sheetViews>
    <sheetView tabSelected="1" topLeftCell="B2" zoomScale="90" zoomScaleNormal="90" zoomScaleSheetLayoutView="100" workbookViewId="0">
      <selection activeCell="B5" sqref="B5"/>
    </sheetView>
  </sheetViews>
  <sheetFormatPr defaultColWidth="18.7109375" defaultRowHeight="12.95" customHeight="1" x14ac:dyDescent="0.2"/>
  <cols>
    <col min="1" max="1" width="9.28515625" style="135" customWidth="1"/>
    <col min="2" max="2" width="23.85546875" style="135" customWidth="1"/>
    <col min="3" max="3" width="12.5703125" style="135" customWidth="1"/>
    <col min="4" max="4" width="23.85546875" style="135" customWidth="1"/>
    <col min="5" max="5" width="12.5703125" style="135" customWidth="1"/>
    <col min="6" max="6" width="23.85546875" style="135" customWidth="1"/>
    <col min="7" max="11" width="12.28515625" style="135" customWidth="1"/>
    <col min="12" max="27" width="8.7109375" style="135" customWidth="1"/>
    <col min="28" max="16384" width="18.7109375" style="135"/>
  </cols>
  <sheetData>
    <row r="1" spans="2:8" ht="12.75" customHeight="1" x14ac:dyDescent="0.2"/>
    <row r="2" spans="2:8" ht="12.75" customHeight="1" x14ac:dyDescent="0.2"/>
    <row r="3" spans="2:8" ht="18" customHeight="1" x14ac:dyDescent="0.25">
      <c r="B3" s="660" t="s">
        <v>578</v>
      </c>
      <c r="C3" s="660"/>
      <c r="D3" s="660"/>
      <c r="E3" s="660"/>
      <c r="F3" s="660"/>
      <c r="G3" s="601"/>
      <c r="H3" s="601"/>
    </row>
    <row r="4" spans="2:8" ht="22.5" customHeight="1" x14ac:dyDescent="0.25">
      <c r="B4" s="660"/>
      <c r="C4" s="660"/>
      <c r="D4" s="660"/>
      <c r="E4" s="660"/>
      <c r="F4" s="660"/>
      <c r="G4" s="601"/>
      <c r="H4" s="601"/>
    </row>
    <row r="5" spans="2:8" ht="22.5" customHeight="1" x14ac:dyDescent="0.25">
      <c r="B5" s="602"/>
      <c r="C5" s="602"/>
      <c r="D5" s="602"/>
      <c r="E5" s="602"/>
      <c r="F5" s="602"/>
      <c r="G5" s="601"/>
      <c r="H5" s="601"/>
    </row>
    <row r="6" spans="2:8" ht="12.75" customHeight="1" x14ac:dyDescent="0.2"/>
    <row r="7" spans="2:8" ht="12.75" customHeight="1" x14ac:dyDescent="0.2"/>
    <row r="8" spans="2:8" ht="12.75" customHeight="1" x14ac:dyDescent="0.2"/>
    <row r="9" spans="2:8" ht="12.75" customHeight="1" x14ac:dyDescent="0.2"/>
    <row r="10" spans="2:8" ht="33.6" customHeight="1" x14ac:dyDescent="0.2"/>
    <row r="11" spans="2:8" ht="33.6" customHeight="1" x14ac:dyDescent="0.2"/>
    <row r="12" spans="2:8" ht="33.6" customHeight="1" x14ac:dyDescent="0.2"/>
    <row r="13" spans="2:8" ht="33.6" customHeight="1" x14ac:dyDescent="0.2"/>
    <row r="14" spans="2:8" ht="12.75" customHeight="1" x14ac:dyDescent="0.2"/>
    <row r="15" spans="2:8" ht="12.75" customHeight="1" x14ac:dyDescent="0.2"/>
    <row r="16" spans="2:8" ht="12.75" customHeight="1" x14ac:dyDescent="0.2"/>
    <row r="17" spans="2:9" ht="12.75" x14ac:dyDescent="0.2">
      <c r="G17" s="603"/>
      <c r="I17" s="603"/>
    </row>
    <row r="18" spans="2:9" ht="12.75" x14ac:dyDescent="0.2">
      <c r="G18" s="604"/>
      <c r="I18" s="604"/>
    </row>
    <row r="19" spans="2:9" ht="12.75" x14ac:dyDescent="0.2">
      <c r="G19" s="604"/>
      <c r="I19" s="604"/>
    </row>
    <row r="20" spans="2:9" ht="12.75" customHeight="1" x14ac:dyDescent="0.2"/>
    <row r="21" spans="2:9" ht="12.75" customHeight="1" x14ac:dyDescent="0.2"/>
    <row r="22" spans="2:9" ht="12.75" customHeight="1" x14ac:dyDescent="0.2"/>
    <row r="23" spans="2:9" ht="12.75" x14ac:dyDescent="0.2">
      <c r="D23" s="605" t="s">
        <v>542</v>
      </c>
    </row>
    <row r="24" spans="2:9" ht="12.75" x14ac:dyDescent="0.2">
      <c r="D24" s="605" t="s">
        <v>543</v>
      </c>
    </row>
    <row r="25" spans="2:9" ht="12.75" x14ac:dyDescent="0.2">
      <c r="D25" s="87" t="s">
        <v>482</v>
      </c>
    </row>
    <row r="26" spans="2:9" ht="12.75" x14ac:dyDescent="0.2">
      <c r="H26" s="606"/>
    </row>
    <row r="27" spans="2:9" ht="12.75" customHeight="1" x14ac:dyDescent="0.2"/>
    <row r="28" spans="2:9" ht="12.75" x14ac:dyDescent="0.2">
      <c r="B28" s="135" t="s">
        <v>483</v>
      </c>
      <c r="D28" s="533" t="s">
        <v>484</v>
      </c>
      <c r="E28" s="532"/>
      <c r="F28" s="607" t="s">
        <v>485</v>
      </c>
    </row>
    <row r="29" spans="2:9" ht="12.75" x14ac:dyDescent="0.2">
      <c r="B29" s="135" t="s">
        <v>497</v>
      </c>
      <c r="D29" s="533" t="s">
        <v>486</v>
      </c>
      <c r="E29" s="532"/>
      <c r="F29" s="607" t="s">
        <v>487</v>
      </c>
    </row>
    <row r="30" spans="2:9" ht="12.75" x14ac:dyDescent="0.2">
      <c r="B30" s="615" t="s">
        <v>488</v>
      </c>
      <c r="C30" s="615"/>
      <c r="D30" s="615" t="s">
        <v>488</v>
      </c>
      <c r="E30" s="616"/>
      <c r="F30" s="617" t="s">
        <v>498</v>
      </c>
    </row>
    <row r="31" spans="2:9" ht="12.75" x14ac:dyDescent="0.2">
      <c r="B31" s="615" t="s">
        <v>489</v>
      </c>
      <c r="C31" s="615"/>
      <c r="D31" s="615" t="s">
        <v>489</v>
      </c>
      <c r="E31" s="616"/>
      <c r="F31" s="617" t="s">
        <v>499</v>
      </c>
    </row>
    <row r="32" spans="2:9" ht="12.75" x14ac:dyDescent="0.2">
      <c r="B32" s="135" t="s">
        <v>491</v>
      </c>
      <c r="D32" s="135" t="s">
        <v>492</v>
      </c>
      <c r="E32" s="615"/>
      <c r="F32" s="618" t="s">
        <v>490</v>
      </c>
      <c r="H32" s="608"/>
    </row>
    <row r="33" spans="1:27" ht="12.75" x14ac:dyDescent="0.2">
      <c r="B33" s="198" t="s">
        <v>494</v>
      </c>
      <c r="D33" s="198" t="s">
        <v>495</v>
      </c>
      <c r="F33" s="607" t="s">
        <v>493</v>
      </c>
    </row>
    <row r="34" spans="1:27" ht="12.75" x14ac:dyDescent="0.2">
      <c r="F34" s="609" t="s">
        <v>496</v>
      </c>
    </row>
    <row r="35" spans="1:27" ht="12.75" x14ac:dyDescent="0.2">
      <c r="D35" s="532"/>
      <c r="E35" s="532"/>
      <c r="F35"/>
    </row>
    <row r="36" spans="1:27" ht="12.75" x14ac:dyDescent="0.2">
      <c r="D36"/>
      <c r="E36" s="532"/>
      <c r="F36" s="532"/>
    </row>
    <row r="37" spans="1:27" ht="12.75" x14ac:dyDescent="0.2">
      <c r="D37" s="532"/>
      <c r="E37" s="532"/>
      <c r="F37" s="532"/>
    </row>
    <row r="38" spans="1:27" ht="12.75" x14ac:dyDescent="0.2">
      <c r="D38" s="532"/>
      <c r="E38" s="532"/>
      <c r="F38" s="532"/>
    </row>
    <row r="39" spans="1:27" ht="12.75" x14ac:dyDescent="0.2">
      <c r="A39" s="610"/>
      <c r="D39" s="532"/>
      <c r="E39" s="532"/>
      <c r="F39" s="532"/>
    </row>
    <row r="40" spans="1:27" ht="12.75" x14ac:dyDescent="0.2">
      <c r="D40" s="532"/>
      <c r="E40" s="532"/>
      <c r="F40" s="532"/>
    </row>
    <row r="41" spans="1:27" ht="12.75" x14ac:dyDescent="0.2">
      <c r="D41" s="532"/>
      <c r="E41" s="532"/>
      <c r="F41" s="532"/>
    </row>
    <row r="42" spans="1:27" ht="12.75" x14ac:dyDescent="0.2">
      <c r="D42" s="532"/>
      <c r="E42" s="532"/>
      <c r="F42" s="532"/>
    </row>
    <row r="43" spans="1:27" ht="12.75" x14ac:dyDescent="0.2">
      <c r="D43" s="532"/>
      <c r="E43" s="532"/>
      <c r="F43" s="532"/>
    </row>
    <row r="44" spans="1:27" ht="12.75" x14ac:dyDescent="0.2">
      <c r="D44" s="532"/>
      <c r="E44" s="532"/>
      <c r="F44" s="532"/>
    </row>
    <row r="45" spans="1:27" ht="12.75" x14ac:dyDescent="0.2">
      <c r="D45" s="532"/>
      <c r="E45" s="532"/>
      <c r="F45" s="532"/>
    </row>
    <row r="46" spans="1:27" ht="12.75" x14ac:dyDescent="0.2">
      <c r="F46" s="611"/>
    </row>
    <row r="47" spans="1:27" ht="12.75" customHeight="1" x14ac:dyDescent="0.2"/>
    <row r="48" spans="1:27" ht="12.75" x14ac:dyDescent="0.2">
      <c r="F48" s="612"/>
      <c r="AA48" s="613"/>
    </row>
    <row r="49" spans="6:27" ht="12.75" x14ac:dyDescent="0.2">
      <c r="F49" s="612"/>
      <c r="AA49" s="613"/>
    </row>
    <row r="50" spans="6:27" s="612" customFormat="1" ht="12.75" x14ac:dyDescent="0.2">
      <c r="Z50" s="135"/>
      <c r="AA50" s="613"/>
    </row>
    <row r="51" spans="6:27" s="612" customFormat="1" ht="12.75" x14ac:dyDescent="0.2">
      <c r="Z51" s="135"/>
      <c r="AA51" s="614"/>
    </row>
  </sheetData>
  <mergeCells count="1">
    <mergeCell ref="B3:F4"/>
  </mergeCells>
  <hyperlinks>
    <hyperlink ref="D25" r:id="rId1" xr:uid="{00000000-0004-0000-0000-000000000000}"/>
    <hyperlink ref="F34" r:id="rId2" xr:uid="{00000000-0004-0000-0000-000001000000}"/>
    <hyperlink ref="D33" r:id="rId3" xr:uid="{00000000-0004-0000-0000-000002000000}"/>
    <hyperlink ref="B33" r:id="rId4" display="mccracke@wsu.edu" xr:uid="{00000000-0004-0000-0000-000003000000}"/>
  </hyperlinks>
  <printOptions horizontalCentered="1"/>
  <pageMargins left="0.75" right="0.75" top="1" bottom="1" header="0" footer="0.5"/>
  <pageSetup scale="94" orientation="portrait" r:id="rId5"/>
  <headerFooter alignWithMargins="0">
    <oddFooter>&amp;L&amp;A&amp;C&amp;F&amp;R
&amp;D</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AL864"/>
  <sheetViews>
    <sheetView zoomScale="90" zoomScaleNormal="90" zoomScaleSheetLayoutView="100" workbookViewId="0">
      <selection activeCell="N151" sqref="N151"/>
    </sheetView>
  </sheetViews>
  <sheetFormatPr defaultColWidth="18.7109375" defaultRowHeight="12.95" customHeight="1" x14ac:dyDescent="0.2"/>
  <cols>
    <col min="1" max="1" width="3.140625" style="154" customWidth="1"/>
    <col min="2" max="2" width="0.5703125" style="31" customWidth="1"/>
    <col min="3" max="3" width="39.85546875" style="31" customWidth="1"/>
    <col min="4" max="4" width="2.42578125" style="31" customWidth="1"/>
    <col min="5" max="5" width="8.7109375" style="31" customWidth="1"/>
    <col min="6" max="6" width="2.140625" style="31" customWidth="1"/>
    <col min="7" max="7" width="12.85546875" style="31" customWidth="1"/>
    <col min="8" max="8" width="2.28515625" style="31" customWidth="1"/>
    <col min="9" max="9" width="8.7109375" style="31" customWidth="1"/>
    <col min="10" max="10" width="2.28515625" style="31" customWidth="1"/>
    <col min="11" max="11" width="9.85546875" style="31" customWidth="1"/>
    <col min="12" max="12" width="7.140625" style="121" customWidth="1"/>
  </cols>
  <sheetData>
    <row r="1" spans="1:38" s="31" customFormat="1" ht="12" customHeight="1" x14ac:dyDescent="0.25">
      <c r="A1" s="249"/>
      <c r="L1" s="121"/>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x14ac:dyDescent="0.2">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75" x14ac:dyDescent="0.25">
      <c r="A8" s="249"/>
      <c r="C8" s="197" t="s">
        <v>508</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75" x14ac:dyDescent="0.25">
      <c r="A10" s="198"/>
      <c r="B10" s="68"/>
      <c r="C10" s="677" t="s">
        <v>296</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25">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25" x14ac:dyDescent="0.2">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ht="12.75" x14ac:dyDescent="0.2">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ht="12.75" x14ac:dyDescent="0.2">
      <c r="B16" s="6"/>
      <c r="C16" s="180" t="s">
        <v>300</v>
      </c>
      <c r="D16" s="9"/>
      <c r="E16" s="115">
        <f>ySC_OR</f>
        <v>1500</v>
      </c>
      <c r="F16" s="9"/>
      <c r="G16" s="201" t="s">
        <v>62</v>
      </c>
      <c r="H16" s="9"/>
      <c r="I16" s="116">
        <f>pSC</f>
        <v>0.22</v>
      </c>
      <c r="J16" s="9"/>
      <c r="K16" s="11">
        <f>E16*I16</f>
        <v>330</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75" x14ac:dyDescent="0.2">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75" x14ac:dyDescent="0.2">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75" x14ac:dyDescent="0.25">
      <c r="B20" s="7"/>
      <c r="C20" s="40" t="s">
        <v>69</v>
      </c>
      <c r="D20" s="6"/>
      <c r="E20" s="54"/>
      <c r="F20" s="6"/>
      <c r="G20" s="7"/>
      <c r="H20" s="6"/>
      <c r="I20" s="49"/>
      <c r="J20" s="6"/>
      <c r="K20" s="107">
        <f>SUM(K21:K21)</f>
        <v>17.5</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ht="12.75" x14ac:dyDescent="0.2">
      <c r="B21" s="7"/>
      <c r="C21" s="43" t="s">
        <v>430</v>
      </c>
      <c r="D21" s="6"/>
      <c r="E21" s="114">
        <v>5</v>
      </c>
      <c r="F21" s="6"/>
      <c r="G21" s="16" t="s">
        <v>62</v>
      </c>
      <c r="H21" s="6"/>
      <c r="I21" s="111">
        <f>sdSC</f>
        <v>3.5</v>
      </c>
      <c r="J21" s="6"/>
      <c r="K21" s="14">
        <f>E21*I21</f>
        <v>17.5</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75" x14ac:dyDescent="0.2">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84.250000000000014</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ht="12.75" x14ac:dyDescent="0.2">
      <c r="B24" s="6"/>
      <c r="C24" s="43" t="s">
        <v>431</v>
      </c>
      <c r="D24" s="6"/>
      <c r="E24" s="114">
        <v>75</v>
      </c>
      <c r="F24" s="6"/>
      <c r="G24" s="16" t="s">
        <v>62</v>
      </c>
      <c r="H24" s="6"/>
      <c r="I24" s="111">
        <f>Nitrogen</f>
        <v>0.77</v>
      </c>
      <c r="J24" s="6"/>
      <c r="K24" s="17">
        <f>E24*I24</f>
        <v>57.75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15</v>
      </c>
      <c r="F25" s="6"/>
      <c r="G25" s="16" t="s">
        <v>62</v>
      </c>
      <c r="H25" s="6"/>
      <c r="I25" s="111">
        <f>Phosphorous</f>
        <v>0.66</v>
      </c>
      <c r="J25" s="6"/>
      <c r="K25" s="17">
        <f>E25*I25</f>
        <v>9.9</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15</v>
      </c>
      <c r="F26" s="6"/>
      <c r="G26" s="104" t="s">
        <v>62</v>
      </c>
      <c r="H26" s="6"/>
      <c r="I26" s="111">
        <f>Sulfur</f>
        <v>0.56000000000000005</v>
      </c>
      <c r="J26" s="6"/>
      <c r="K26" s="17">
        <f>E26*I26</f>
        <v>8.4</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ht="12.75" x14ac:dyDescent="0.2">
      <c r="B27" s="6"/>
      <c r="C27" s="43" t="s">
        <v>185</v>
      </c>
      <c r="D27" s="6"/>
      <c r="E27" s="114">
        <v>1</v>
      </c>
      <c r="F27" s="6"/>
      <c r="G27" s="104" t="s">
        <v>62</v>
      </c>
      <c r="H27" s="6"/>
      <c r="I27" s="111">
        <f>Boron</f>
        <v>8.1999999999999993</v>
      </c>
      <c r="J27" s="6"/>
      <c r="K27" s="17">
        <f>E27*I27</f>
        <v>8.1999999999999993</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75" x14ac:dyDescent="0.2">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SUM(K30:K35)</f>
        <v>19.764000000000003</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24</v>
      </c>
      <c r="F30" s="6"/>
      <c r="G30" s="104" t="s">
        <v>64</v>
      </c>
      <c r="H30" s="6"/>
      <c r="I30" s="111">
        <f>Glyphosphate</f>
        <v>0.2</v>
      </c>
      <c r="J30" s="6"/>
      <c r="K30" s="17">
        <f t="shared" ref="K30:K35" si="0">E30*I30</f>
        <v>4.8000000000000007</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ht="12.75" x14ac:dyDescent="0.2">
      <c r="B31" s="6"/>
      <c r="C31" s="43" t="s">
        <v>571</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ht="12.75" x14ac:dyDescent="0.2">
      <c r="B32" s="6"/>
      <c r="C32" s="43" t="s">
        <v>192</v>
      </c>
      <c r="D32" s="6"/>
      <c r="E32" s="112">
        <v>1</v>
      </c>
      <c r="F32" s="6"/>
      <c r="G32" s="104" t="s">
        <v>98</v>
      </c>
      <c r="H32" s="6"/>
      <c r="I32" s="111">
        <f>Spodnam</f>
        <v>14.25</v>
      </c>
      <c r="J32" s="6"/>
      <c r="K32" s="17">
        <f t="shared" si="0"/>
        <v>14.25</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ht="12.75" x14ac:dyDescent="0.2">
      <c r="B33" s="6"/>
      <c r="C33" s="43"/>
      <c r="D33" s="6"/>
      <c r="E33" s="112"/>
      <c r="F33" s="6"/>
      <c r="G33" s="181"/>
      <c r="H33" s="6"/>
      <c r="I33" s="111"/>
      <c r="J33" s="6"/>
      <c r="K33" s="17">
        <f t="shared" si="0"/>
        <v>0</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ht="12.75" x14ac:dyDescent="0.2">
      <c r="B34" s="6"/>
      <c r="C34" s="43"/>
      <c r="D34" s="6"/>
      <c r="E34" s="112"/>
      <c r="F34" s="6"/>
      <c r="G34" s="104"/>
      <c r="H34" s="6"/>
      <c r="I34" s="111"/>
      <c r="J34" s="6"/>
      <c r="K34" s="17">
        <f t="shared" si="0"/>
        <v>0</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6"/>
      <c r="H35" s="6"/>
      <c r="I35" s="111"/>
      <c r="J35" s="6"/>
      <c r="K35" s="17">
        <f t="shared" si="0"/>
        <v>0</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75" x14ac:dyDescent="0.2">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ht="12.75" x14ac:dyDescent="0.2">
      <c r="B37" s="6"/>
      <c r="C37" s="40" t="s">
        <v>14</v>
      </c>
      <c r="D37" s="6"/>
      <c r="E37" s="59"/>
      <c r="F37" s="6"/>
      <c r="G37" s="7"/>
      <c r="H37" s="6"/>
      <c r="I37" s="49"/>
      <c r="J37" s="6"/>
      <c r="K37" s="106">
        <f>SUM(K39:K42)</f>
        <v>37.728100000000005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ht="12.75" x14ac:dyDescent="0.2">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ht="12.75" x14ac:dyDescent="0.2">
      <c r="A39" s="505"/>
      <c r="B39" s="6"/>
      <c r="C39" s="130" t="s">
        <v>102</v>
      </c>
      <c r="D39" s="6"/>
      <c r="E39" s="33">
        <v>1</v>
      </c>
      <c r="F39" s="6"/>
      <c r="G39" s="104" t="s">
        <v>63</v>
      </c>
      <c r="H39" s="6"/>
      <c r="I39" s="109">
        <f>'Machinery Costs'!K198</f>
        <v>14.45</v>
      </c>
      <c r="J39" s="6"/>
      <c r="K39" s="17">
        <f>E39*I39</f>
        <v>14.45</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ht="12.75" x14ac:dyDescent="0.2">
      <c r="B40" s="6"/>
      <c r="C40" s="30" t="s">
        <v>103</v>
      </c>
      <c r="D40" s="6"/>
      <c r="E40" s="33">
        <v>1</v>
      </c>
      <c r="F40" s="6"/>
      <c r="G40" s="16" t="s">
        <v>63</v>
      </c>
      <c r="H40" s="6"/>
      <c r="I40" s="109">
        <f>'Machinery Costs'!I198</f>
        <v>2.1799999999999997</v>
      </c>
      <c r="J40" s="6"/>
      <c r="K40" s="17">
        <f>E40*I40</f>
        <v>2.1799999999999997</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ht="12.75" x14ac:dyDescent="0.2">
      <c r="B41" s="6"/>
      <c r="C41" s="30" t="s">
        <v>25</v>
      </c>
      <c r="D41" s="6"/>
      <c r="E41" s="33">
        <v>1</v>
      </c>
      <c r="F41" s="6"/>
      <c r="G41" s="16" t="s">
        <v>63</v>
      </c>
      <c r="H41" s="6"/>
      <c r="I41" s="109">
        <f>'Machinery Costs'!H198</f>
        <v>7.8981000000000012</v>
      </c>
      <c r="J41" s="6"/>
      <c r="K41" s="17">
        <f>E41*I41</f>
        <v>7.8981000000000012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ht="12.75" x14ac:dyDescent="0.2">
      <c r="B42" s="6"/>
      <c r="C42" s="30" t="s">
        <v>54</v>
      </c>
      <c r="D42" s="6"/>
      <c r="E42" s="110">
        <f>'Machinery Costs'!L198</f>
        <v>0.66</v>
      </c>
      <c r="F42" s="6"/>
      <c r="G42" s="104" t="s">
        <v>57</v>
      </c>
      <c r="H42" s="6"/>
      <c r="I42" s="111">
        <f>MachLabor</f>
        <v>20</v>
      </c>
      <c r="J42" s="6"/>
      <c r="K42" s="17">
        <f>E42*I42</f>
        <v>13.200000000000001</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75" x14ac:dyDescent="0.2">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ht="12.75" x14ac:dyDescent="0.2">
      <c r="B44" s="6"/>
      <c r="C44" s="40" t="s">
        <v>39</v>
      </c>
      <c r="D44" s="6"/>
      <c r="E44" s="59"/>
      <c r="F44" s="6"/>
      <c r="G44" s="7"/>
      <c r="H44" s="6"/>
      <c r="I44" s="49"/>
      <c r="J44" s="6"/>
      <c r="K44" s="106">
        <f>SUM(K45:K47)</f>
        <v>8.6999999999999993</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ht="12.75" x14ac:dyDescent="0.2">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ht="12.75" x14ac:dyDescent="0.2">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ht="12.75" x14ac:dyDescent="0.2">
      <c r="B47" s="6"/>
      <c r="C47" s="43" t="s">
        <v>70</v>
      </c>
      <c r="D47" s="6"/>
      <c r="E47" s="114">
        <v>1</v>
      </c>
      <c r="F47" s="6"/>
      <c r="G47" s="104" t="s">
        <v>63</v>
      </c>
      <c r="H47" s="6"/>
      <c r="I47" s="111">
        <f>Aerial</f>
        <v>8.6999999999999993</v>
      </c>
      <c r="J47" s="6"/>
      <c r="K47" s="17">
        <f>E47*I47</f>
        <v>8.6999999999999993</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x14ac:dyDescent="0.2">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x14ac:dyDescent="0.2">
      <c r="B49" s="6"/>
      <c r="C49" s="40" t="s">
        <v>234</v>
      </c>
      <c r="D49" s="6"/>
      <c r="E49" s="34"/>
      <c r="F49" s="6"/>
      <c r="G49" s="7"/>
      <c r="H49" s="6"/>
      <c r="I49" s="49"/>
      <c r="J49" s="6"/>
      <c r="K49" s="106">
        <f>SUM(K50:K60)</f>
        <v>7.2818181818181822</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x14ac:dyDescent="0.2">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ht="12.75" x14ac:dyDescent="0.2">
      <c r="B51" s="6"/>
      <c r="C51" s="130" t="s">
        <v>231</v>
      </c>
      <c r="D51" s="6"/>
      <c r="E51" s="114">
        <v>0</v>
      </c>
      <c r="F51" s="6"/>
      <c r="G51" s="104" t="s">
        <v>275</v>
      </c>
      <c r="H51" s="6"/>
      <c r="I51" s="248">
        <f>E53*(E54*E16)</f>
        <v>22.5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ht="12.75" x14ac:dyDescent="0.2">
      <c r="B52" s="6"/>
      <c r="C52" s="56" t="s">
        <v>549</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x14ac:dyDescent="0.2">
      <c r="B53" s="6"/>
      <c r="C53" s="243" t="s">
        <v>232</v>
      </c>
      <c r="D53" s="56"/>
      <c r="E53" s="111">
        <f>CanolaStorage</f>
        <v>0.03</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ht="12.75" x14ac:dyDescent="0.2">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ht="12.75" x14ac:dyDescent="0.2">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75" x14ac:dyDescent="0.2">
      <c r="B56" s="6"/>
      <c r="C56" s="130" t="s">
        <v>548</v>
      </c>
      <c r="D56" s="6"/>
      <c r="E56" s="244">
        <f>E16/50</f>
        <v>30</v>
      </c>
      <c r="F56" s="6"/>
      <c r="G56" s="104" t="s">
        <v>91</v>
      </c>
      <c r="H56" s="6"/>
      <c r="I56" s="248">
        <f>(E58*E59)/E60</f>
        <v>0.24272727272727274</v>
      </c>
      <c r="J56" s="6"/>
      <c r="K56" s="209">
        <f>E56*I56</f>
        <v>7.2818181818181822</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x14ac:dyDescent="0.2">
      <c r="B57" s="6"/>
      <c r="C57" s="56" t="s">
        <v>550</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x14ac:dyDescent="0.2">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x14ac:dyDescent="0.2">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x14ac:dyDescent="0.2">
      <c r="B60" s="6"/>
      <c r="C60" s="243" t="s">
        <v>219</v>
      </c>
      <c r="D60" s="6"/>
      <c r="E60" s="114">
        <v>1100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ht="12.75" x14ac:dyDescent="0.2">
      <c r="B62" s="6"/>
      <c r="C62" s="40" t="s">
        <v>40</v>
      </c>
      <c r="D62" s="6"/>
      <c r="E62" s="34"/>
      <c r="F62" s="6"/>
      <c r="G62" s="7"/>
      <c r="H62" s="6"/>
      <c r="I62" s="49"/>
      <c r="J62" s="6"/>
      <c r="K62" s="106">
        <f>SUM(K63:K65)</f>
        <v>14.6</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ht="12.75" x14ac:dyDescent="0.2">
      <c r="B63" s="6"/>
      <c r="C63" s="15" t="s">
        <v>65</v>
      </c>
      <c r="D63" s="6"/>
      <c r="E63" s="33">
        <v>1</v>
      </c>
      <c r="F63" s="6"/>
      <c r="G63" s="16" t="s">
        <v>63</v>
      </c>
      <c r="H63" s="6"/>
      <c r="I63" s="113">
        <f>ciSC</f>
        <v>14.6</v>
      </c>
      <c r="J63" s="6"/>
      <c r="K63" s="17">
        <f>E63*I63</f>
        <v>14.6</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75" x14ac:dyDescent="0.2">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75" x14ac:dyDescent="0.2">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75" x14ac:dyDescent="0.2">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25" x14ac:dyDescent="0.2">
      <c r="B67" s="6"/>
      <c r="C67" s="56" t="s">
        <v>235</v>
      </c>
      <c r="D67" s="6"/>
      <c r="E67" s="34"/>
      <c r="F67" s="6"/>
      <c r="G67" s="7"/>
      <c r="H67" s="6"/>
      <c r="I67" s="34"/>
      <c r="J67" s="6"/>
      <c r="K67" s="17">
        <f>+(K20+K23+K29+K37+K44+K49+K62)*Operloan*0.75</f>
        <v>8.186156471590909</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75" x14ac:dyDescent="0.2">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ht="12.75" x14ac:dyDescent="0.2">
      <c r="B69" s="40"/>
      <c r="C69" s="40" t="s">
        <v>85</v>
      </c>
      <c r="D69" s="40"/>
      <c r="E69" s="53"/>
      <c r="F69" s="40"/>
      <c r="G69" s="41"/>
      <c r="H69" s="40"/>
      <c r="I69" s="53"/>
      <c r="J69" s="40"/>
      <c r="K69" s="42">
        <f>SUM(K20,K23,K29,K37,K44,K49,K62,K67)</f>
        <v>198.01007465340911</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ht="12.75" x14ac:dyDescent="0.2">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ht="12.75" x14ac:dyDescent="0.2">
      <c r="B71" s="9"/>
      <c r="C71" s="50" t="s">
        <v>303</v>
      </c>
      <c r="D71" s="50"/>
      <c r="E71" s="51"/>
      <c r="F71" s="50"/>
      <c r="G71" s="52"/>
      <c r="H71" s="50"/>
      <c r="I71" s="51"/>
      <c r="J71" s="50"/>
      <c r="K71" s="73">
        <f>K16-(K69)</f>
        <v>131.98992534659089</v>
      </c>
      <c r="L71" s="89"/>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ht="12.75" x14ac:dyDescent="0.2">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ht="12.75" x14ac:dyDescent="0.2">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ht="12.75" x14ac:dyDescent="0.2">
      <c r="B74" s="6"/>
      <c r="C74" s="679" t="s">
        <v>100</v>
      </c>
      <c r="D74" s="679"/>
      <c r="E74" s="679"/>
      <c r="F74" s="6"/>
      <c r="G74" s="104" t="s">
        <v>63</v>
      </c>
      <c r="H74" s="6"/>
      <c r="I74" s="109">
        <f>'Machinery Costs'!D198</f>
        <v>13.4763</v>
      </c>
      <c r="J74" s="6"/>
      <c r="K74" s="17">
        <f>I74</f>
        <v>13.4763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ht="12.75" x14ac:dyDescent="0.2">
      <c r="B75" s="6"/>
      <c r="C75" s="679" t="s">
        <v>101</v>
      </c>
      <c r="D75" s="679"/>
      <c r="E75" s="679"/>
      <c r="F75" s="6"/>
      <c r="G75" s="104" t="s">
        <v>63</v>
      </c>
      <c r="H75" s="6"/>
      <c r="I75" s="109">
        <f>'Machinery Costs'!E198</f>
        <v>10.948999999999998</v>
      </c>
      <c r="J75" s="6"/>
      <c r="K75" s="17">
        <f>I75</f>
        <v>10.948999999999998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ht="12.75" x14ac:dyDescent="0.2">
      <c r="B76" s="6"/>
      <c r="C76" s="679" t="s">
        <v>3</v>
      </c>
      <c r="D76" s="679"/>
      <c r="E76" s="679"/>
      <c r="F76" s="6"/>
      <c r="G76" s="104" t="s">
        <v>63</v>
      </c>
      <c r="H76" s="6"/>
      <c r="I76" s="109">
        <f>'Machinery Costs'!F198</f>
        <v>5.7246999999999995</v>
      </c>
      <c r="J76" s="6"/>
      <c r="K76" s="17">
        <f>I76</f>
        <v>5.7246999999999995</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t="12.75" hidden="1" x14ac:dyDescent="0.2">
      <c r="B77" s="6"/>
      <c r="C77" s="480"/>
      <c r="D77" s="480"/>
      <c r="E77" s="480"/>
      <c r="F77" s="6"/>
      <c r="G77" s="104"/>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75" x14ac:dyDescent="0.2">
      <c r="B78" s="6"/>
      <c r="C78" s="683" t="s">
        <v>551</v>
      </c>
      <c r="D78" s="679"/>
      <c r="E78" s="679"/>
      <c r="F78" s="6"/>
      <c r="G78" s="16" t="s">
        <v>63</v>
      </c>
      <c r="H78" s="6"/>
      <c r="I78" s="64">
        <f>ROUND((E16*I16)*E80-(K23+K29+I63)*E80, 0)</f>
        <v>70</v>
      </c>
      <c r="J78" s="6"/>
      <c r="K78" s="17">
        <f>+I78</f>
        <v>70</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75" x14ac:dyDescent="0.2">
      <c r="B79" s="6"/>
      <c r="C79" s="56" t="s">
        <v>556</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ht="12.75" x14ac:dyDescent="0.2">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ht="12.75" x14ac:dyDescent="0.2">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x14ac:dyDescent="0.2">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ht="12.75" x14ac:dyDescent="0.2">
      <c r="B83" s="6"/>
      <c r="C83" s="683" t="s">
        <v>34</v>
      </c>
      <c r="D83" s="679"/>
      <c r="E83" s="679"/>
      <c r="F83" s="6"/>
      <c r="G83" s="104"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25" x14ac:dyDescent="0.2">
      <c r="B84" s="6"/>
      <c r="C84" s="679" t="s">
        <v>236</v>
      </c>
      <c r="D84" s="679"/>
      <c r="E84" s="679"/>
      <c r="F84" s="6"/>
      <c r="G84" s="104" t="s">
        <v>63</v>
      </c>
      <c r="H84" s="6"/>
      <c r="I84" s="64">
        <f>ROUND(($K$20+$K$23+$K$29+$K$37+$K$44+$K$49+$K$62)*OH, 0)</f>
        <v>5</v>
      </c>
      <c r="J84" s="6"/>
      <c r="K84" s="17">
        <f>I84</f>
        <v>5</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25" x14ac:dyDescent="0.2">
      <c r="B85" s="6"/>
      <c r="C85" s="679" t="s">
        <v>237</v>
      </c>
      <c r="D85" s="679"/>
      <c r="E85" s="679"/>
      <c r="F85" s="6"/>
      <c r="G85" s="104" t="s">
        <v>63</v>
      </c>
      <c r="H85" s="6"/>
      <c r="I85" s="64">
        <f>ROUND(($K$16)*Mgmtfee, 0)</f>
        <v>17</v>
      </c>
      <c r="J85" s="6"/>
      <c r="K85" s="17">
        <f>I85</f>
        <v>17</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75" x14ac:dyDescent="0.2">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ht="12.75" x14ac:dyDescent="0.2">
      <c r="B87" s="40"/>
      <c r="C87" s="40" t="s">
        <v>84</v>
      </c>
      <c r="D87" s="40"/>
      <c r="E87" s="53"/>
      <c r="F87" s="40"/>
      <c r="G87" s="41"/>
      <c r="H87" s="40"/>
      <c r="I87" s="53"/>
      <c r="J87" s="40"/>
      <c r="K87" s="42">
        <f>SUM(K74:K85)</f>
        <v>122.15</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75" x14ac:dyDescent="0.2">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s="38" customFormat="1" ht="12.75" x14ac:dyDescent="0.2">
      <c r="A89" s="89"/>
      <c r="B89" s="40"/>
      <c r="C89" s="40" t="s">
        <v>26</v>
      </c>
      <c r="D89" s="40"/>
      <c r="E89" s="53"/>
      <c r="F89" s="40"/>
      <c r="G89" s="41"/>
      <c r="H89" s="40"/>
      <c r="I89" s="53"/>
      <c r="J89" s="40"/>
      <c r="K89" s="42">
        <f>K69+K87</f>
        <v>320.16007465340908</v>
      </c>
      <c r="L89" s="89"/>
      <c r="M89" s="533"/>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row>
    <row r="90" spans="1:38" s="37" customFormat="1" ht="12.75" x14ac:dyDescent="0.2">
      <c r="A90" s="200"/>
      <c r="B90" s="44"/>
      <c r="C90" s="9"/>
      <c r="D90" s="9"/>
      <c r="E90" s="58"/>
      <c r="F90" s="9"/>
      <c r="G90" s="13"/>
      <c r="H90" s="9"/>
      <c r="I90" s="58"/>
      <c r="J90" s="9"/>
      <c r="K90" s="183"/>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row>
    <row r="91" spans="1:38" ht="14.25" customHeight="1" x14ac:dyDescent="0.2">
      <c r="C91" s="579" t="s">
        <v>442</v>
      </c>
      <c r="D91" s="579"/>
      <c r="E91" s="580"/>
      <c r="F91" s="579"/>
      <c r="G91" s="580"/>
      <c r="H91" s="579"/>
      <c r="I91" s="580"/>
      <c r="J91" s="579"/>
      <c r="K91" s="581">
        <f>K16-(K89)</f>
        <v>9.8399253465909169</v>
      </c>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ht="27.75" customHeight="1" x14ac:dyDescent="0.2">
      <c r="C92" s="290"/>
      <c r="D92" s="290"/>
      <c r="E92" s="291"/>
      <c r="F92" s="290"/>
      <c r="G92" s="291"/>
      <c r="H92" s="290"/>
      <c r="I92" s="291"/>
      <c r="J92" s="290"/>
      <c r="K92" s="292"/>
      <c r="M92" s="532"/>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row>
    <row r="93" spans="1:38" s="31" customFormat="1" ht="12.75" x14ac:dyDescent="0.2">
      <c r="A93" s="154"/>
      <c r="C93" s="44" t="s">
        <v>27</v>
      </c>
      <c r="D93" s="44"/>
      <c r="E93" s="62"/>
      <c r="F93" s="44"/>
      <c r="G93" s="45"/>
      <c r="H93" s="44"/>
      <c r="I93" s="62"/>
      <c r="J93" s="44"/>
      <c r="K93" s="44"/>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s="31" customFormat="1" ht="42" customHeight="1" x14ac:dyDescent="0.2">
      <c r="A94" s="154"/>
      <c r="C94" s="681" t="s">
        <v>476</v>
      </c>
      <c r="D94" s="681"/>
      <c r="E94" s="681"/>
      <c r="F94" s="681"/>
      <c r="G94" s="681"/>
      <c r="H94" s="681"/>
      <c r="I94" s="681"/>
      <c r="J94" s="681"/>
      <c r="K94" s="681"/>
      <c r="L94" s="15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16.5" customHeight="1" x14ac:dyDescent="0.2">
      <c r="A95" s="154"/>
      <c r="B95" s="55"/>
      <c r="C95" s="680" t="s">
        <v>558</v>
      </c>
      <c r="D95" s="680"/>
      <c r="E95" s="680"/>
      <c r="F95" s="680"/>
      <c r="G95" s="680"/>
      <c r="H95" s="680"/>
      <c r="I95" s="680"/>
      <c r="J95" s="680"/>
      <c r="K95" s="680"/>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27" customHeight="1" x14ac:dyDescent="0.2">
      <c r="A96" s="154"/>
      <c r="C96" s="680" t="s">
        <v>554</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15" customHeight="1" x14ac:dyDescent="0.2">
      <c r="A97" s="154"/>
      <c r="B97" s="36"/>
      <c r="C97" s="680" t="s">
        <v>547</v>
      </c>
      <c r="D97" s="682"/>
      <c r="E97" s="682"/>
      <c r="F97" s="682"/>
      <c r="G97" s="682"/>
      <c r="H97" s="682"/>
      <c r="I97" s="682"/>
      <c r="J97" s="682"/>
      <c r="K97" s="682"/>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ht="12.75" x14ac:dyDescent="0.2">
      <c r="B98" s="154"/>
      <c r="C98" s="676"/>
      <c r="D98" s="676"/>
      <c r="E98" s="676"/>
      <c r="F98" s="676"/>
      <c r="G98" s="676"/>
      <c r="H98" s="676"/>
      <c r="I98" s="676"/>
      <c r="J98" s="676"/>
      <c r="K98" s="676"/>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ht="12.75" x14ac:dyDescent="0.2">
      <c r="B99" s="154"/>
      <c r="C99" s="6"/>
      <c r="D99" s="6"/>
      <c r="E99" s="34"/>
      <c r="F99" s="6"/>
      <c r="G99" s="7"/>
      <c r="H99" s="6"/>
      <c r="I99" s="34"/>
      <c r="J99" s="6"/>
      <c r="K99" s="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75" x14ac:dyDescent="0.2">
      <c r="A100" s="532"/>
      <c r="B100" s="532"/>
      <c r="C100" s="643" t="s">
        <v>563</v>
      </c>
      <c r="D100" s="636"/>
      <c r="E100" s="637" t="s">
        <v>72</v>
      </c>
      <c r="F100" s="636"/>
      <c r="G100" s="638" t="s">
        <v>559</v>
      </c>
      <c r="H100" s="6"/>
      <c r="I100" s="34"/>
      <c r="J100" s="6"/>
      <c r="K100" s="6"/>
      <c r="L100" s="532"/>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ht="12.75" x14ac:dyDescent="0.2">
      <c r="A101" s="532"/>
      <c r="B101" s="532"/>
      <c r="C101" s="644" t="s">
        <v>560</v>
      </c>
      <c r="D101" s="636"/>
      <c r="E101" s="639">
        <f>K69</f>
        <v>198.01007465340911</v>
      </c>
      <c r="F101" s="636"/>
      <c r="G101" s="640">
        <f>E101/$E$16</f>
        <v>0.13200671643560608</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75" x14ac:dyDescent="0.2">
      <c r="A102" s="532"/>
      <c r="B102" s="532"/>
      <c r="C102" s="644" t="s">
        <v>561</v>
      </c>
      <c r="D102" s="636"/>
      <c r="E102" s="639">
        <f>K87</f>
        <v>122.15</v>
      </c>
      <c r="F102" s="636"/>
      <c r="G102" s="640">
        <f>E102/$E$16</f>
        <v>8.1433333333333344E-2</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75" x14ac:dyDescent="0.2">
      <c r="A103" s="532"/>
      <c r="B103" s="532"/>
      <c r="C103" s="644" t="s">
        <v>562</v>
      </c>
      <c r="D103" s="636"/>
      <c r="E103" s="639">
        <f>K89</f>
        <v>320.16007465340908</v>
      </c>
      <c r="F103" s="636"/>
      <c r="G103" s="640">
        <f>E103/$E$16</f>
        <v>0.21344004976893938</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75" x14ac:dyDescent="0.2">
      <c r="A104" s="532"/>
      <c r="B104" s="532"/>
      <c r="C104" s="6"/>
      <c r="D104" s="6"/>
      <c r="E104" s="34"/>
      <c r="F104" s="6"/>
      <c r="G104" s="7"/>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75" x14ac:dyDescent="0.2">
      <c r="B105" s="154"/>
      <c r="C105" s="19" t="s">
        <v>28</v>
      </c>
      <c r="D105" s="6"/>
      <c r="E105" s="20" t="s">
        <v>29</v>
      </c>
      <c r="F105" s="6"/>
      <c r="G105" s="7"/>
      <c r="H105" s="6"/>
      <c r="I105" s="20" t="s">
        <v>31</v>
      </c>
      <c r="J105" s="6"/>
      <c r="K105" s="6"/>
      <c r="L105" s="154"/>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75" x14ac:dyDescent="0.2">
      <c r="B106" s="154"/>
      <c r="C106" s="6"/>
      <c r="D106" s="6"/>
      <c r="E106" s="21">
        <v>0.1</v>
      </c>
      <c r="F106" s="6"/>
      <c r="G106" s="7" t="s">
        <v>30</v>
      </c>
      <c r="H106" s="6"/>
      <c r="I106" s="21">
        <v>0.1</v>
      </c>
      <c r="J106" s="6"/>
      <c r="K106" s="6"/>
      <c r="L106" s="154"/>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75" x14ac:dyDescent="0.2">
      <c r="B107" s="154"/>
      <c r="C107" s="6"/>
      <c r="D107" s="6"/>
      <c r="E107" s="22"/>
      <c r="F107" s="3"/>
      <c r="G107" s="2" t="s">
        <v>32</v>
      </c>
      <c r="H107" s="3"/>
      <c r="I107" s="22"/>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75" x14ac:dyDescent="0.2">
      <c r="B108" s="154"/>
      <c r="C108" s="23" t="s">
        <v>50</v>
      </c>
      <c r="D108" s="6"/>
      <c r="E108" s="645">
        <f>G108*(1-E106)</f>
        <v>1350</v>
      </c>
      <c r="F108" s="24"/>
      <c r="G108" s="25">
        <f>E16</f>
        <v>1500</v>
      </c>
      <c r="H108" s="24"/>
      <c r="I108" s="645">
        <f>G108*(1+I106)</f>
        <v>1650.0000000000002</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6" customHeight="1" x14ac:dyDescent="0.2">
      <c r="B109" s="154"/>
      <c r="C109" s="6"/>
      <c r="D109" s="6"/>
      <c r="E109" s="34"/>
      <c r="F109" s="6"/>
      <c r="G109" s="7"/>
      <c r="H109" s="6"/>
      <c r="I109" s="34"/>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75" x14ac:dyDescent="0.2">
      <c r="B110" s="154"/>
      <c r="C110" s="495" t="s">
        <v>51</v>
      </c>
      <c r="D110" s="6"/>
      <c r="E110" s="26">
        <f>$K$69/E108</f>
        <v>0.14667412937289565</v>
      </c>
      <c r="F110" s="6"/>
      <c r="G110" s="26">
        <f>$K$69/G108</f>
        <v>0.13200671643560608</v>
      </c>
      <c r="H110" s="6"/>
      <c r="I110" s="26">
        <f>$K$69/I108</f>
        <v>0.12000610585055095</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x14ac:dyDescent="0.2">
      <c r="B111" s="154"/>
      <c r="C111" s="495"/>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75" x14ac:dyDescent="0.2">
      <c r="B112" s="154"/>
      <c r="C112" s="495" t="s">
        <v>52</v>
      </c>
      <c r="D112" s="6"/>
      <c r="E112" s="26">
        <f>$K$87/E108</f>
        <v>9.0481481481481482E-2</v>
      </c>
      <c r="F112" s="6"/>
      <c r="G112" s="26">
        <f>$K$87/G108</f>
        <v>8.1433333333333344E-2</v>
      </c>
      <c r="H112" s="6"/>
      <c r="I112" s="26">
        <f>$K$87/I108</f>
        <v>7.403030303030303E-2</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x14ac:dyDescent="0.2">
      <c r="B113" s="154"/>
      <c r="C113" s="495"/>
      <c r="D113" s="6"/>
      <c r="E113" s="34"/>
      <c r="F113" s="6"/>
      <c r="G113" s="7"/>
      <c r="H113" s="6"/>
      <c r="I113" s="34"/>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75" x14ac:dyDescent="0.2">
      <c r="B114" s="154"/>
      <c r="C114" s="495" t="s">
        <v>61</v>
      </c>
      <c r="D114" s="6"/>
      <c r="E114" s="26">
        <f>$K$89/E108</f>
        <v>0.23715561085437709</v>
      </c>
      <c r="F114" s="6"/>
      <c r="G114" s="26">
        <f>$K$89/G108</f>
        <v>0.21344004976893938</v>
      </c>
      <c r="H114" s="6"/>
      <c r="I114" s="26">
        <f>$K$89/I108</f>
        <v>0.19403640888085397</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12.75" x14ac:dyDescent="0.2">
      <c r="B115" s="154"/>
      <c r="C115" s="496"/>
      <c r="D115" s="9"/>
      <c r="E115" s="58"/>
      <c r="F115" s="9"/>
      <c r="G115" s="13"/>
      <c r="H115" s="9"/>
      <c r="I115" s="58"/>
      <c r="J115" s="9"/>
      <c r="K115" s="9"/>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75" x14ac:dyDescent="0.2">
      <c r="B116" s="154"/>
      <c r="C116" s="496"/>
      <c r="D116" s="9"/>
      <c r="E116" s="20" t="s">
        <v>29</v>
      </c>
      <c r="F116" s="6"/>
      <c r="G116" s="7"/>
      <c r="H116" s="6"/>
      <c r="I116" s="20" t="s">
        <v>31</v>
      </c>
      <c r="J116" s="9"/>
      <c r="K116" s="9"/>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75" x14ac:dyDescent="0.2">
      <c r="B117" s="154"/>
      <c r="C117" s="495"/>
      <c r="D117" s="6"/>
      <c r="E117" s="21">
        <v>0.1</v>
      </c>
      <c r="F117" s="6"/>
      <c r="G117" s="7" t="s">
        <v>30</v>
      </c>
      <c r="H117" s="6"/>
      <c r="I117" s="21">
        <v>0.1</v>
      </c>
      <c r="J117" s="6"/>
      <c r="K117" s="6"/>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75" x14ac:dyDescent="0.2">
      <c r="B118" s="154"/>
      <c r="C118" s="495"/>
      <c r="D118" s="6"/>
      <c r="E118" s="2"/>
      <c r="F118" s="3"/>
      <c r="G118" s="4" t="s">
        <v>50</v>
      </c>
      <c r="H118" s="3"/>
      <c r="I118" s="2"/>
      <c r="J118" s="6"/>
      <c r="K118" s="6"/>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75" x14ac:dyDescent="0.2">
      <c r="B119" s="154"/>
      <c r="C119" s="497" t="s">
        <v>32</v>
      </c>
      <c r="D119" s="6"/>
      <c r="E119" s="27">
        <f>G119*(1-E117)</f>
        <v>0.19800000000000001</v>
      </c>
      <c r="F119" s="24"/>
      <c r="G119" s="28">
        <f>I16</f>
        <v>0.22</v>
      </c>
      <c r="H119" s="24"/>
      <c r="I119" s="27">
        <f>G119*(1+I117)</f>
        <v>0.24200000000000002</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6" customHeight="1" x14ac:dyDescent="0.2">
      <c r="B120" s="154"/>
      <c r="C120" s="495"/>
      <c r="D120" s="6"/>
      <c r="E120" s="34"/>
      <c r="F120" s="6"/>
      <c r="G120" s="7"/>
      <c r="H120" s="6"/>
      <c r="I120" s="34"/>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75" x14ac:dyDescent="0.2">
      <c r="B121" s="154"/>
      <c r="C121" s="495" t="s">
        <v>51</v>
      </c>
      <c r="D121" s="6"/>
      <c r="E121" s="29">
        <f>$K$69/E119</f>
        <v>1000.0508820879247</v>
      </c>
      <c r="F121" s="6"/>
      <c r="G121" s="29">
        <f>$K$69/G119</f>
        <v>900.04579387913225</v>
      </c>
      <c r="H121" s="6"/>
      <c r="I121" s="29">
        <f>$K$69/I119</f>
        <v>818.22344898102926</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x14ac:dyDescent="0.2">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75" x14ac:dyDescent="0.2">
      <c r="B123" s="154"/>
      <c r="C123" s="495" t="s">
        <v>52</v>
      </c>
      <c r="D123" s="6"/>
      <c r="E123" s="29">
        <f>$K$87/E119</f>
        <v>616.91919191919192</v>
      </c>
      <c r="F123" s="6"/>
      <c r="G123" s="29">
        <f>$K$87/G119</f>
        <v>555.22727272727275</v>
      </c>
      <c r="H123" s="6"/>
      <c r="I123" s="29">
        <f>$K$87/I119</f>
        <v>504.75206611570246</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x14ac:dyDescent="0.2">
      <c r="B124" s="154"/>
      <c r="C124" s="495"/>
      <c r="D124" s="6"/>
      <c r="E124" s="34"/>
      <c r="F124" s="6"/>
      <c r="G124" s="7"/>
      <c r="H124" s="6"/>
      <c r="I124" s="34"/>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75" x14ac:dyDescent="0.2">
      <c r="B125" s="154"/>
      <c r="C125" s="495" t="s">
        <v>61</v>
      </c>
      <c r="D125" s="6"/>
      <c r="E125" s="29">
        <f>$K$89/E119</f>
        <v>1616.9700740071164</v>
      </c>
      <c r="F125" s="6"/>
      <c r="G125" s="29">
        <f>$K$89/G119</f>
        <v>1455.2730666064049</v>
      </c>
      <c r="H125" s="6"/>
      <c r="I125" s="29">
        <f>$K$89/I119</f>
        <v>1322.9755150967317</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12.95" customHeight="1" x14ac:dyDescent="0.2">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95" customHeight="1" x14ac:dyDescent="0.2">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95" customHeight="1" x14ac:dyDescent="0.2">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2.95" customHeight="1" x14ac:dyDescent="0.2">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2.95" customHeight="1" x14ac:dyDescent="0.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2.95" customHeight="1" x14ac:dyDescent="0.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2.95" customHeight="1" x14ac:dyDescent="0.2">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2.95" customHeight="1" x14ac:dyDescent="0.2">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2.95" customHeight="1" x14ac:dyDescent="0.2">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2.95" customHeight="1" x14ac:dyDescent="0.2">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2.95" customHeight="1" x14ac:dyDescent="0.2">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2.95" customHeight="1" x14ac:dyDescent="0.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2.95" customHeight="1" x14ac:dyDescent="0.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2.95" customHeight="1" x14ac:dyDescent="0.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2.95" customHeight="1" x14ac:dyDescent="0.2">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2.95" customHeight="1" x14ac:dyDescent="0.2">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2.95" customHeight="1" x14ac:dyDescent="0.2">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2.95" customHeight="1" x14ac:dyDescent="0.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2.95" customHeight="1" x14ac:dyDescent="0.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2.95" customHeight="1" x14ac:dyDescent="0.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2.95" customHeight="1" x14ac:dyDescent="0.2">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2.95" customHeight="1" x14ac:dyDescent="0.2">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2.95" customHeight="1" x14ac:dyDescent="0.2">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2.95" customHeight="1" x14ac:dyDescent="0.2">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2.95" customHeight="1" x14ac:dyDescent="0.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2.95" customHeight="1" x14ac:dyDescent="0.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2.95" customHeight="1" x14ac:dyDescent="0.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2.95" customHeight="1" x14ac:dyDescent="0.2">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2.95" customHeight="1" x14ac:dyDescent="0.2">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2.95" customHeight="1" x14ac:dyDescent="0.2">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2.95" customHeight="1" x14ac:dyDescent="0.2">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2.95" customHeight="1" x14ac:dyDescent="0.2">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2.95" customHeight="1" x14ac:dyDescent="0.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2.95" customHeight="1" x14ac:dyDescent="0.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2.95" customHeight="1" x14ac:dyDescent="0.2">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2.95" customHeight="1" x14ac:dyDescent="0.2">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2.95" customHeight="1" x14ac:dyDescent="0.2">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2.95" customHeight="1" x14ac:dyDescent="0.2">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2.95" customHeight="1" x14ac:dyDescent="0.2">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2.95" customHeight="1" x14ac:dyDescent="0.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2.95" customHeight="1" x14ac:dyDescent="0.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2.95" customHeight="1" x14ac:dyDescent="0.2">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2.95" customHeight="1" x14ac:dyDescent="0.2">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2.95" customHeight="1" x14ac:dyDescent="0.2">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2.95" customHeight="1" x14ac:dyDescent="0.2">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2.95" customHeight="1" x14ac:dyDescent="0.2">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2.95" customHeight="1" x14ac:dyDescent="0.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2.95" customHeight="1" x14ac:dyDescent="0.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2.95" customHeight="1" x14ac:dyDescent="0.2">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2.95" customHeight="1" x14ac:dyDescent="0.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2.95" customHeight="1" x14ac:dyDescent="0.2">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2.95" customHeight="1" x14ac:dyDescent="0.2">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2.95" customHeight="1" x14ac:dyDescent="0.2">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2.95" customHeight="1" x14ac:dyDescent="0.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2.95" customHeight="1" x14ac:dyDescent="0.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2.95" customHeight="1" x14ac:dyDescent="0.2">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2.95" customHeight="1" x14ac:dyDescent="0.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2.95" customHeight="1" x14ac:dyDescent="0.2">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2.95" customHeight="1" x14ac:dyDescent="0.2">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2.95" customHeight="1" x14ac:dyDescent="0.2">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2.95" customHeight="1" x14ac:dyDescent="0.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2.95" customHeight="1" x14ac:dyDescent="0.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2.95" customHeight="1" x14ac:dyDescent="0.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2.95" customHeight="1" x14ac:dyDescent="0.2">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2.95" customHeight="1" x14ac:dyDescent="0.2">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2.95" customHeight="1" x14ac:dyDescent="0.2">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2.95" customHeight="1" x14ac:dyDescent="0.2">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2.95" customHeight="1" x14ac:dyDescent="0.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2.95" customHeight="1" x14ac:dyDescent="0.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2.95" customHeight="1" x14ac:dyDescent="0.2">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2.95" customHeight="1" x14ac:dyDescent="0.2">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2.95" customHeight="1" x14ac:dyDescent="0.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2.95" customHeight="1" x14ac:dyDescent="0.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2.95" customHeight="1" x14ac:dyDescent="0.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2.95" customHeight="1" x14ac:dyDescent="0.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2.95" customHeight="1" x14ac:dyDescent="0.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2.95" customHeight="1" x14ac:dyDescent="0.2">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2.95" customHeight="1" x14ac:dyDescent="0.2">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2.95" customHeight="1" x14ac:dyDescent="0.2">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2.95" customHeight="1" x14ac:dyDescent="0.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2.95" customHeight="1" x14ac:dyDescent="0.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2.95" customHeight="1" x14ac:dyDescent="0.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2.95" customHeight="1" x14ac:dyDescent="0.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2.95" customHeight="1" x14ac:dyDescent="0.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2.95" customHeight="1" x14ac:dyDescent="0.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2.95" customHeight="1" x14ac:dyDescent="0.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2.95" customHeight="1" x14ac:dyDescent="0.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2.95" customHeight="1" x14ac:dyDescent="0.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2.95" customHeight="1" x14ac:dyDescent="0.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2.95" customHeight="1" x14ac:dyDescent="0.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2.95" customHeight="1" x14ac:dyDescent="0.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2.95" customHeight="1" x14ac:dyDescent="0.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2.95" customHeight="1" x14ac:dyDescent="0.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2.95" customHeight="1" x14ac:dyDescent="0.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2.95" customHeight="1" x14ac:dyDescent="0.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2.95" customHeight="1" x14ac:dyDescent="0.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2.95" customHeight="1" x14ac:dyDescent="0.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2.95" customHeight="1" x14ac:dyDescent="0.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2.95" customHeight="1" x14ac:dyDescent="0.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2.95" customHeight="1" x14ac:dyDescent="0.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2.95" customHeight="1" x14ac:dyDescent="0.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2.95" customHeight="1" x14ac:dyDescent="0.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2.95" customHeight="1" x14ac:dyDescent="0.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2.95" customHeight="1" x14ac:dyDescent="0.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2.95" customHeight="1" x14ac:dyDescent="0.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2.95" customHeight="1" x14ac:dyDescent="0.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2.95" customHeight="1" x14ac:dyDescent="0.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2.95" customHeight="1" x14ac:dyDescent="0.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2.95" customHeight="1" x14ac:dyDescent="0.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2.95" customHeight="1" x14ac:dyDescent="0.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2.95" customHeight="1" x14ac:dyDescent="0.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2.95" customHeight="1" x14ac:dyDescent="0.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2.95" customHeight="1" x14ac:dyDescent="0.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2.95" customHeight="1" x14ac:dyDescent="0.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2.95" customHeight="1" x14ac:dyDescent="0.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2.95" customHeight="1" x14ac:dyDescent="0.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2.95" customHeight="1" x14ac:dyDescent="0.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2.95" customHeight="1" x14ac:dyDescent="0.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2.95" customHeight="1" x14ac:dyDescent="0.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2.95" customHeight="1" x14ac:dyDescent="0.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2.95" customHeight="1" x14ac:dyDescent="0.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2.95" customHeight="1" x14ac:dyDescent="0.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2.95" customHeight="1" x14ac:dyDescent="0.2">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2.95" customHeight="1" x14ac:dyDescent="0.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2.95" customHeight="1" x14ac:dyDescent="0.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2.95" customHeight="1" x14ac:dyDescent="0.2">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2.95" customHeight="1" x14ac:dyDescent="0.2">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2.95" customHeight="1" x14ac:dyDescent="0.2">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2.95" customHeight="1" x14ac:dyDescent="0.2">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2.95" customHeight="1" x14ac:dyDescent="0.2">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2.95" customHeight="1" x14ac:dyDescent="0.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2.95" customHeight="1" x14ac:dyDescent="0.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2.95" customHeight="1" x14ac:dyDescent="0.2">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2.95" customHeight="1" x14ac:dyDescent="0.2">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2.95" customHeight="1" x14ac:dyDescent="0.2">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2.95" customHeight="1" x14ac:dyDescent="0.2">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2.95" customHeight="1" x14ac:dyDescent="0.2">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2.95" customHeight="1" x14ac:dyDescent="0.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2.95" customHeight="1" x14ac:dyDescent="0.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2.95" customHeight="1" x14ac:dyDescent="0.2">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2.95" customHeight="1" x14ac:dyDescent="0.2">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2.95" customHeight="1" x14ac:dyDescent="0.2">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2.95" customHeight="1" x14ac:dyDescent="0.2">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2.95" customHeight="1" x14ac:dyDescent="0.2">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2.95" customHeight="1" x14ac:dyDescent="0.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2.95" customHeight="1" x14ac:dyDescent="0.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2.95" customHeight="1" x14ac:dyDescent="0.2">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2.95" customHeight="1" x14ac:dyDescent="0.2">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2.95" customHeight="1" x14ac:dyDescent="0.2">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2.95" customHeight="1" x14ac:dyDescent="0.2">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2.95" customHeight="1" x14ac:dyDescent="0.2">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2.95" customHeight="1" x14ac:dyDescent="0.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2.95" customHeight="1" x14ac:dyDescent="0.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2.95" customHeight="1" x14ac:dyDescent="0.2">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2.95" customHeight="1" x14ac:dyDescent="0.2">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2.95" customHeight="1" x14ac:dyDescent="0.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2.95" customHeight="1" x14ac:dyDescent="0.2">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2.95" customHeight="1" x14ac:dyDescent="0.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2.95" customHeight="1" x14ac:dyDescent="0.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2.95" customHeight="1" x14ac:dyDescent="0.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2.95" customHeight="1" x14ac:dyDescent="0.2">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2.95" customHeight="1" x14ac:dyDescent="0.2">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2.95" customHeight="1" x14ac:dyDescent="0.2">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2.95" customHeight="1" x14ac:dyDescent="0.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2.95" customHeight="1" x14ac:dyDescent="0.2">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2.95" customHeight="1" x14ac:dyDescent="0.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2.95" customHeight="1" x14ac:dyDescent="0.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2.95" customHeight="1" x14ac:dyDescent="0.2">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2.95" customHeight="1" x14ac:dyDescent="0.2">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2.95" customHeight="1" x14ac:dyDescent="0.2">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2.95" customHeight="1" x14ac:dyDescent="0.2">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2.95" customHeight="1" x14ac:dyDescent="0.2">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2.95" customHeight="1" x14ac:dyDescent="0.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2.95" customHeight="1" x14ac:dyDescent="0.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2.95" customHeight="1" x14ac:dyDescent="0.2">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2.95" customHeight="1" x14ac:dyDescent="0.2">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2.95" customHeight="1" x14ac:dyDescent="0.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2.95" customHeight="1" x14ac:dyDescent="0.2">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2.95" customHeight="1" x14ac:dyDescent="0.2">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2.95" customHeight="1" x14ac:dyDescent="0.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2.95" customHeight="1" x14ac:dyDescent="0.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2.95" customHeight="1" x14ac:dyDescent="0.2">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2.95" customHeight="1" x14ac:dyDescent="0.2">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2.95" customHeight="1" x14ac:dyDescent="0.2">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2.95" customHeight="1" x14ac:dyDescent="0.2">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2.95" customHeight="1" x14ac:dyDescent="0.2">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2.95" customHeight="1" x14ac:dyDescent="0.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2.95" customHeight="1" x14ac:dyDescent="0.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2.95" customHeight="1" x14ac:dyDescent="0.2">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2.95" customHeight="1" x14ac:dyDescent="0.2">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2.95" customHeight="1" x14ac:dyDescent="0.2">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2.95" customHeight="1" x14ac:dyDescent="0.2">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2.95" customHeight="1" x14ac:dyDescent="0.2">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2.95" customHeight="1" x14ac:dyDescent="0.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2.95" customHeight="1" x14ac:dyDescent="0.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2.95" customHeight="1" x14ac:dyDescent="0.2">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2.95" customHeight="1" x14ac:dyDescent="0.2">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2.95" customHeight="1" x14ac:dyDescent="0.2">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2.95" customHeight="1" x14ac:dyDescent="0.2">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2.95" customHeight="1" x14ac:dyDescent="0.2">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2.95" customHeight="1" x14ac:dyDescent="0.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2.95" customHeight="1" x14ac:dyDescent="0.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2.95" customHeight="1" x14ac:dyDescent="0.2">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2.95" customHeight="1" x14ac:dyDescent="0.2">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2.95" customHeight="1" x14ac:dyDescent="0.2">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2.95" customHeight="1" x14ac:dyDescent="0.2">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2.95" customHeight="1" x14ac:dyDescent="0.2">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2.95" customHeight="1" x14ac:dyDescent="0.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2.95" customHeight="1" x14ac:dyDescent="0.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2.95" customHeight="1" x14ac:dyDescent="0.2">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2.95" customHeight="1" x14ac:dyDescent="0.2">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2.95" customHeight="1" x14ac:dyDescent="0.2">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2.95" customHeight="1" x14ac:dyDescent="0.2">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2.95" customHeight="1" x14ac:dyDescent="0.2">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2.95" customHeight="1" x14ac:dyDescent="0.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2.95" customHeight="1" x14ac:dyDescent="0.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2.95" customHeight="1" x14ac:dyDescent="0.2">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2.95" customHeight="1" x14ac:dyDescent="0.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2.95" customHeight="1" x14ac:dyDescent="0.2">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2.95" customHeight="1" x14ac:dyDescent="0.2">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2.95" customHeight="1" x14ac:dyDescent="0.2">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2.95" customHeight="1" x14ac:dyDescent="0.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2.95" customHeight="1" x14ac:dyDescent="0.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2.95" customHeight="1" x14ac:dyDescent="0.2">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2.95" customHeight="1" x14ac:dyDescent="0.2">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2.95" customHeight="1" x14ac:dyDescent="0.2">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2.95" customHeight="1" x14ac:dyDescent="0.2">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2.95" customHeight="1" x14ac:dyDescent="0.2">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2.95" customHeight="1" x14ac:dyDescent="0.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2.95" customHeight="1" x14ac:dyDescent="0.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2.95" customHeight="1" x14ac:dyDescent="0.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2.95" customHeight="1" x14ac:dyDescent="0.2">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2.95" customHeight="1" x14ac:dyDescent="0.2">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2.95" customHeight="1" x14ac:dyDescent="0.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2.95" customHeight="1" x14ac:dyDescent="0.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2.95" customHeight="1" x14ac:dyDescent="0.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2.95" customHeight="1" x14ac:dyDescent="0.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2.95" customHeight="1" x14ac:dyDescent="0.2">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2.95" customHeight="1" x14ac:dyDescent="0.2">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2.95" customHeight="1" x14ac:dyDescent="0.2">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2.95" customHeight="1" x14ac:dyDescent="0.2">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2.95" customHeight="1" x14ac:dyDescent="0.2">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2.95" customHeight="1" x14ac:dyDescent="0.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2.95" customHeight="1" x14ac:dyDescent="0.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2.95" customHeight="1" x14ac:dyDescent="0.2">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2.95" customHeight="1" x14ac:dyDescent="0.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2.95" customHeight="1" x14ac:dyDescent="0.2">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2.95" customHeight="1" x14ac:dyDescent="0.2">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2.95" customHeight="1" x14ac:dyDescent="0.2">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2.95" customHeight="1" x14ac:dyDescent="0.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2.95" customHeight="1" x14ac:dyDescent="0.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2.95" customHeight="1" x14ac:dyDescent="0.2">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2.95" customHeight="1" x14ac:dyDescent="0.2">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2.95" customHeight="1" x14ac:dyDescent="0.2">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2.95" customHeight="1" x14ac:dyDescent="0.2">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2.95" customHeight="1" x14ac:dyDescent="0.2">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2.95" customHeight="1" x14ac:dyDescent="0.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2.95" customHeight="1" x14ac:dyDescent="0.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2.95" customHeight="1" x14ac:dyDescent="0.2">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2.95" customHeight="1" x14ac:dyDescent="0.2">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2.95" customHeight="1" x14ac:dyDescent="0.2">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2.95" customHeight="1" x14ac:dyDescent="0.2">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2.95" customHeight="1" x14ac:dyDescent="0.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2.95" customHeight="1" x14ac:dyDescent="0.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2.95" customHeight="1" x14ac:dyDescent="0.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2.95" customHeight="1" x14ac:dyDescent="0.2">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2.95" customHeight="1" x14ac:dyDescent="0.2">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2.95" customHeight="1" x14ac:dyDescent="0.2">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2.95" customHeight="1" x14ac:dyDescent="0.2">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2.95" customHeight="1" x14ac:dyDescent="0.2">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2.95" customHeight="1" x14ac:dyDescent="0.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2.95" customHeight="1" x14ac:dyDescent="0.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2.95" customHeight="1" x14ac:dyDescent="0.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2.95" customHeight="1" x14ac:dyDescent="0.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2.95" customHeight="1" x14ac:dyDescent="0.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2.95" customHeight="1" x14ac:dyDescent="0.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2.95" customHeight="1" x14ac:dyDescent="0.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2.95" customHeight="1" x14ac:dyDescent="0.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2.95" customHeight="1" x14ac:dyDescent="0.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2.95" customHeight="1" x14ac:dyDescent="0.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2.95" customHeight="1" x14ac:dyDescent="0.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2.95" customHeight="1" x14ac:dyDescent="0.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2.95" customHeight="1" x14ac:dyDescent="0.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2.95" customHeight="1" x14ac:dyDescent="0.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2.95" customHeight="1" x14ac:dyDescent="0.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2.95" customHeight="1" x14ac:dyDescent="0.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2.95" customHeight="1" x14ac:dyDescent="0.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2.95" customHeight="1" x14ac:dyDescent="0.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2.95" customHeight="1" x14ac:dyDescent="0.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2.95" customHeight="1" x14ac:dyDescent="0.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2.95" customHeight="1" x14ac:dyDescent="0.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2.95" customHeight="1" x14ac:dyDescent="0.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2.95" customHeight="1" x14ac:dyDescent="0.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2.95" customHeight="1" x14ac:dyDescent="0.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2.95" customHeight="1" x14ac:dyDescent="0.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2.95" customHeight="1" x14ac:dyDescent="0.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2.95" customHeight="1" x14ac:dyDescent="0.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2.95" customHeight="1" x14ac:dyDescent="0.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2.95" customHeight="1" x14ac:dyDescent="0.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2.95" customHeight="1" x14ac:dyDescent="0.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2.95" customHeight="1" x14ac:dyDescent="0.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2.95" customHeight="1" x14ac:dyDescent="0.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2.95" customHeight="1" x14ac:dyDescent="0.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2.95" customHeight="1" x14ac:dyDescent="0.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2.95" customHeight="1" x14ac:dyDescent="0.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2.95" customHeight="1" x14ac:dyDescent="0.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2.95" customHeight="1" x14ac:dyDescent="0.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2.95" customHeight="1" x14ac:dyDescent="0.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2.95" customHeight="1" x14ac:dyDescent="0.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2.95" customHeight="1" x14ac:dyDescent="0.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2.95" customHeight="1" x14ac:dyDescent="0.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2.95" customHeight="1" x14ac:dyDescent="0.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2.95" customHeight="1" x14ac:dyDescent="0.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2.95" customHeight="1" x14ac:dyDescent="0.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2.95" customHeight="1" x14ac:dyDescent="0.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2.95" customHeight="1" x14ac:dyDescent="0.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2.95" customHeight="1" x14ac:dyDescent="0.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2.95" customHeight="1" x14ac:dyDescent="0.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2.95" customHeight="1" x14ac:dyDescent="0.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2.95" customHeight="1" x14ac:dyDescent="0.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2.95" customHeight="1" x14ac:dyDescent="0.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2.95" customHeight="1" x14ac:dyDescent="0.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2.95" customHeight="1" x14ac:dyDescent="0.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2.95" customHeight="1" x14ac:dyDescent="0.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2.95" customHeight="1" x14ac:dyDescent="0.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2.95" customHeight="1" x14ac:dyDescent="0.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2.95" customHeight="1" x14ac:dyDescent="0.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2.95" customHeight="1" x14ac:dyDescent="0.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2.95" customHeight="1" x14ac:dyDescent="0.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2.95" customHeight="1" x14ac:dyDescent="0.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2.95" customHeight="1" x14ac:dyDescent="0.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2.95" customHeight="1" x14ac:dyDescent="0.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2.95" customHeight="1" x14ac:dyDescent="0.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2.95" customHeight="1" x14ac:dyDescent="0.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2.95" customHeight="1" x14ac:dyDescent="0.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2.95" customHeight="1" x14ac:dyDescent="0.2">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2.95" customHeight="1" x14ac:dyDescent="0.2">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2.95" customHeight="1" x14ac:dyDescent="0.2">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2.95" customHeight="1" x14ac:dyDescent="0.2">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2.95" customHeight="1" x14ac:dyDescent="0.2">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2.95" customHeight="1" x14ac:dyDescent="0.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2.95" customHeight="1" x14ac:dyDescent="0.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2.95" customHeight="1" x14ac:dyDescent="0.2">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2.95" customHeight="1" x14ac:dyDescent="0.2">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2.95" customHeight="1" x14ac:dyDescent="0.2">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2.95" customHeight="1" x14ac:dyDescent="0.2">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2.95" customHeight="1" x14ac:dyDescent="0.2">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2.95" customHeight="1" x14ac:dyDescent="0.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2.95" customHeight="1" x14ac:dyDescent="0.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2.95" customHeight="1" x14ac:dyDescent="0.2">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2.95" customHeight="1" x14ac:dyDescent="0.2">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2.95" customHeight="1" x14ac:dyDescent="0.2">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2.95" customHeight="1" x14ac:dyDescent="0.2">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2.95" customHeight="1" x14ac:dyDescent="0.2">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2.95" customHeight="1" x14ac:dyDescent="0.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2.95" customHeight="1" x14ac:dyDescent="0.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2.95" customHeight="1" x14ac:dyDescent="0.2">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2.95" customHeight="1" x14ac:dyDescent="0.2">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2.95" customHeight="1" x14ac:dyDescent="0.2">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2.95" customHeight="1" x14ac:dyDescent="0.2">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2.95" customHeight="1" x14ac:dyDescent="0.2">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2.95" customHeight="1" x14ac:dyDescent="0.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2.95" customHeight="1" x14ac:dyDescent="0.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2.95" customHeight="1" x14ac:dyDescent="0.2">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2.95" customHeight="1" x14ac:dyDescent="0.2">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2.95" customHeight="1" x14ac:dyDescent="0.2">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2.95" customHeight="1" x14ac:dyDescent="0.2">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2.95" customHeight="1" x14ac:dyDescent="0.2">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2.95" customHeight="1" x14ac:dyDescent="0.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2.95" customHeight="1" x14ac:dyDescent="0.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2.95" customHeight="1" x14ac:dyDescent="0.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2.95" customHeight="1" x14ac:dyDescent="0.2">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2.95" customHeight="1" x14ac:dyDescent="0.2">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2.95" customHeight="1" x14ac:dyDescent="0.2">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2.95" customHeight="1" x14ac:dyDescent="0.2">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2.95" customHeight="1" x14ac:dyDescent="0.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2.95" customHeight="1" x14ac:dyDescent="0.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2.95" customHeight="1" x14ac:dyDescent="0.2">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2.95" customHeight="1" x14ac:dyDescent="0.2">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2.95" customHeight="1" x14ac:dyDescent="0.2">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2.95" customHeight="1" x14ac:dyDescent="0.2">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2.95" customHeight="1" x14ac:dyDescent="0.2">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2.95" customHeight="1" x14ac:dyDescent="0.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2.95" customHeight="1" x14ac:dyDescent="0.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2.95" customHeight="1" x14ac:dyDescent="0.2">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2.95" customHeight="1" x14ac:dyDescent="0.2">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2.95" customHeight="1" x14ac:dyDescent="0.2">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2.95" customHeight="1" x14ac:dyDescent="0.2">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2.95" customHeight="1" x14ac:dyDescent="0.2">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2.95" customHeight="1" x14ac:dyDescent="0.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2.95" customHeight="1" x14ac:dyDescent="0.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2.95" customHeight="1" x14ac:dyDescent="0.2">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2.95" customHeight="1" x14ac:dyDescent="0.2">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2.95" customHeight="1" x14ac:dyDescent="0.2">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2.95" customHeight="1" x14ac:dyDescent="0.2">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2.95" customHeight="1" x14ac:dyDescent="0.2">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2.95" customHeight="1" x14ac:dyDescent="0.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2.95" customHeight="1" x14ac:dyDescent="0.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2.95" customHeight="1" x14ac:dyDescent="0.2">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2.95" customHeight="1" x14ac:dyDescent="0.2">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2.95" customHeight="1" x14ac:dyDescent="0.2">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2.95" customHeight="1" x14ac:dyDescent="0.2">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2.95" customHeight="1" x14ac:dyDescent="0.2">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2.95" customHeight="1" x14ac:dyDescent="0.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2.95" customHeight="1" x14ac:dyDescent="0.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2.95" customHeight="1" x14ac:dyDescent="0.2">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2.95" customHeight="1" x14ac:dyDescent="0.2">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2.95" customHeight="1" x14ac:dyDescent="0.2">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2.95" customHeight="1" x14ac:dyDescent="0.2">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2.95" customHeight="1" x14ac:dyDescent="0.2">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2.95" customHeight="1" x14ac:dyDescent="0.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2.95" customHeight="1" x14ac:dyDescent="0.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2.95" customHeight="1" x14ac:dyDescent="0.2">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2.95" customHeight="1" x14ac:dyDescent="0.2">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2.95" customHeight="1" x14ac:dyDescent="0.2">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2.95" customHeight="1" x14ac:dyDescent="0.2">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2.95" customHeight="1" x14ac:dyDescent="0.2">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2.95" customHeight="1" x14ac:dyDescent="0.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2.95" customHeight="1" x14ac:dyDescent="0.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2.95" customHeight="1" x14ac:dyDescent="0.2">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2.95" customHeight="1" x14ac:dyDescent="0.2">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2.95" customHeight="1" x14ac:dyDescent="0.2">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2.95" customHeight="1" x14ac:dyDescent="0.2">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2.95" customHeight="1" x14ac:dyDescent="0.2">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2.95" customHeight="1" x14ac:dyDescent="0.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2.95" customHeight="1" x14ac:dyDescent="0.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2.95" customHeight="1" x14ac:dyDescent="0.2">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2.95" customHeight="1" x14ac:dyDescent="0.2">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2.95" customHeight="1" x14ac:dyDescent="0.2">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2.95" customHeight="1" x14ac:dyDescent="0.2">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2.95" customHeight="1" x14ac:dyDescent="0.2">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2.95" customHeight="1" x14ac:dyDescent="0.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2.95" customHeight="1" x14ac:dyDescent="0.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2.95" customHeight="1" x14ac:dyDescent="0.2">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2.95" customHeight="1" x14ac:dyDescent="0.2">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2.95" customHeight="1" x14ac:dyDescent="0.2">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2.95" customHeight="1" x14ac:dyDescent="0.2">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2.95" customHeight="1" x14ac:dyDescent="0.2">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2.95" customHeight="1" x14ac:dyDescent="0.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2.95" customHeight="1" x14ac:dyDescent="0.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2.95" customHeight="1" x14ac:dyDescent="0.2">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2.95" customHeight="1" x14ac:dyDescent="0.2">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2.95" customHeight="1" x14ac:dyDescent="0.2">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2.95" customHeight="1" x14ac:dyDescent="0.2">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2.95" customHeight="1" x14ac:dyDescent="0.2">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2.95" customHeight="1" x14ac:dyDescent="0.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2.95" customHeight="1" x14ac:dyDescent="0.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2.95" customHeight="1" x14ac:dyDescent="0.2">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2.95" customHeight="1" x14ac:dyDescent="0.2">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2.95" customHeight="1" x14ac:dyDescent="0.2">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2.95" customHeight="1" x14ac:dyDescent="0.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2.95" customHeight="1" x14ac:dyDescent="0.2">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2.95" customHeight="1" x14ac:dyDescent="0.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2.95" customHeight="1" x14ac:dyDescent="0.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2.95" customHeight="1" x14ac:dyDescent="0.2">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2.95" customHeight="1" x14ac:dyDescent="0.2">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2.95" customHeight="1" x14ac:dyDescent="0.2">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2.95" customHeight="1" x14ac:dyDescent="0.2">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2.95" customHeight="1" x14ac:dyDescent="0.2">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2.95" customHeight="1" x14ac:dyDescent="0.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2.95" customHeight="1" x14ac:dyDescent="0.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2.95" customHeight="1" x14ac:dyDescent="0.2">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2.95" customHeight="1" x14ac:dyDescent="0.2">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2.95" customHeight="1" x14ac:dyDescent="0.2">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2.95" customHeight="1" x14ac:dyDescent="0.2">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2.95" customHeight="1" x14ac:dyDescent="0.2">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2.95" customHeight="1" x14ac:dyDescent="0.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2.95" customHeight="1" x14ac:dyDescent="0.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2.95" customHeight="1" x14ac:dyDescent="0.2">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2.95" customHeight="1" x14ac:dyDescent="0.2">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2.95" customHeight="1" x14ac:dyDescent="0.2">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2.95" customHeight="1" x14ac:dyDescent="0.2">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2.95" customHeight="1" x14ac:dyDescent="0.2">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2.95" customHeight="1" x14ac:dyDescent="0.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2.95" customHeight="1" x14ac:dyDescent="0.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2.95" customHeight="1" x14ac:dyDescent="0.2">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2.95" customHeight="1" x14ac:dyDescent="0.2">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2.95" customHeight="1" x14ac:dyDescent="0.2">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2.95" customHeight="1" x14ac:dyDescent="0.2">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2.95" customHeight="1" x14ac:dyDescent="0.2">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2.95" customHeight="1" x14ac:dyDescent="0.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2.95" customHeight="1" x14ac:dyDescent="0.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2.95" customHeight="1" x14ac:dyDescent="0.2">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2.95" customHeight="1" x14ac:dyDescent="0.2">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2.95" customHeight="1" x14ac:dyDescent="0.2">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2.95" customHeight="1" x14ac:dyDescent="0.2">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2.95" customHeight="1" x14ac:dyDescent="0.2">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2.95" customHeight="1" x14ac:dyDescent="0.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2.95" customHeight="1" x14ac:dyDescent="0.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2.95" customHeight="1" x14ac:dyDescent="0.2">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2.95" customHeight="1" x14ac:dyDescent="0.2">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2.95" customHeight="1" x14ac:dyDescent="0.2">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2.95" customHeight="1" x14ac:dyDescent="0.2">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2.95" customHeight="1" x14ac:dyDescent="0.2">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2.95" customHeight="1" x14ac:dyDescent="0.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2.95" customHeight="1" x14ac:dyDescent="0.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2.95" customHeight="1" x14ac:dyDescent="0.2">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2.95" customHeight="1" x14ac:dyDescent="0.2">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2.95" customHeight="1" x14ac:dyDescent="0.2">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2.95" customHeight="1" x14ac:dyDescent="0.2">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2.95" customHeight="1" x14ac:dyDescent="0.2">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2.95" customHeight="1" x14ac:dyDescent="0.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2.95" customHeight="1" x14ac:dyDescent="0.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2.95" customHeight="1" x14ac:dyDescent="0.2">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2.95" customHeight="1" x14ac:dyDescent="0.2">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2.95" customHeight="1" x14ac:dyDescent="0.2">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2.95" customHeight="1" x14ac:dyDescent="0.2">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2.95" customHeight="1" x14ac:dyDescent="0.2">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2.95" customHeight="1" x14ac:dyDescent="0.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2.95" customHeight="1" x14ac:dyDescent="0.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2.95" customHeight="1" x14ac:dyDescent="0.2">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2.95" customHeight="1" x14ac:dyDescent="0.2">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2.95" customHeight="1" x14ac:dyDescent="0.2">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2.95" customHeight="1" x14ac:dyDescent="0.2">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2.95" customHeight="1" x14ac:dyDescent="0.2">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2.95" customHeight="1" x14ac:dyDescent="0.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2.95" customHeight="1" x14ac:dyDescent="0.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2.95" customHeight="1" x14ac:dyDescent="0.2">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2.95" customHeight="1" x14ac:dyDescent="0.2">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2.95" customHeight="1" x14ac:dyDescent="0.2">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2.95" customHeight="1" x14ac:dyDescent="0.2">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2.95" customHeight="1" x14ac:dyDescent="0.2">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2.95" customHeight="1" x14ac:dyDescent="0.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2.95" customHeight="1" x14ac:dyDescent="0.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2.95" customHeight="1" x14ac:dyDescent="0.2">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2.95" customHeight="1" x14ac:dyDescent="0.2">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2.95" customHeight="1" x14ac:dyDescent="0.2">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2.95" customHeight="1" x14ac:dyDescent="0.2">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2.95" customHeight="1" x14ac:dyDescent="0.2">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2.95" customHeight="1" x14ac:dyDescent="0.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2.95" customHeight="1" x14ac:dyDescent="0.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2.95" customHeight="1" x14ac:dyDescent="0.2">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2.95" customHeight="1" x14ac:dyDescent="0.2">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2.95" customHeight="1" x14ac:dyDescent="0.2">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2.95" customHeight="1" x14ac:dyDescent="0.2">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2.95" customHeight="1" x14ac:dyDescent="0.2">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2.95" customHeight="1" x14ac:dyDescent="0.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2.95" customHeight="1" x14ac:dyDescent="0.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2.95" customHeight="1" x14ac:dyDescent="0.2">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2.95" customHeight="1" x14ac:dyDescent="0.2">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2.95" customHeight="1" x14ac:dyDescent="0.2">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2.95" customHeight="1" x14ac:dyDescent="0.2">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2.95" customHeight="1" x14ac:dyDescent="0.2">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2.95" customHeight="1" x14ac:dyDescent="0.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2.95" customHeight="1" x14ac:dyDescent="0.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2.95" customHeight="1" x14ac:dyDescent="0.2">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2.95" customHeight="1" x14ac:dyDescent="0.2">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2.95" customHeight="1" x14ac:dyDescent="0.2">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2.95" customHeight="1" x14ac:dyDescent="0.2">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2.95" customHeight="1" x14ac:dyDescent="0.2">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2.95" customHeight="1" x14ac:dyDescent="0.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2.95" customHeight="1" x14ac:dyDescent="0.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2.95" customHeight="1" x14ac:dyDescent="0.2">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2.95" customHeight="1" x14ac:dyDescent="0.2">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2.95" customHeight="1" x14ac:dyDescent="0.2">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2.95" customHeight="1" x14ac:dyDescent="0.2">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2.95" customHeight="1" x14ac:dyDescent="0.2">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2.95" customHeight="1" x14ac:dyDescent="0.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2.95" customHeight="1" x14ac:dyDescent="0.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2.95" customHeight="1" x14ac:dyDescent="0.2">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2.95" customHeight="1" x14ac:dyDescent="0.2">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2.95" customHeight="1" x14ac:dyDescent="0.2">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2.95" customHeight="1" x14ac:dyDescent="0.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2.95" customHeight="1" x14ac:dyDescent="0.2">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2.95" customHeight="1" x14ac:dyDescent="0.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2.95" customHeight="1" x14ac:dyDescent="0.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2.95" customHeight="1" x14ac:dyDescent="0.2">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2.95" customHeight="1" x14ac:dyDescent="0.2">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2.95" customHeight="1" x14ac:dyDescent="0.2">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2.95" customHeight="1" x14ac:dyDescent="0.2">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2.95" customHeight="1" x14ac:dyDescent="0.2">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2.95" customHeight="1" x14ac:dyDescent="0.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2.95" customHeight="1" x14ac:dyDescent="0.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2.95" customHeight="1" x14ac:dyDescent="0.2">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2.95" customHeight="1" x14ac:dyDescent="0.2">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2.95" customHeight="1" x14ac:dyDescent="0.2">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2.95" customHeight="1" x14ac:dyDescent="0.2">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2.95" customHeight="1" x14ac:dyDescent="0.2">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2.95" customHeight="1" x14ac:dyDescent="0.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2.95" customHeight="1" x14ac:dyDescent="0.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2.95" customHeight="1" x14ac:dyDescent="0.2">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2.95" customHeight="1" x14ac:dyDescent="0.2">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2.95" customHeight="1" x14ac:dyDescent="0.2">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2.95" customHeight="1" x14ac:dyDescent="0.2">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2.95" customHeight="1" x14ac:dyDescent="0.2">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2.95" customHeight="1" x14ac:dyDescent="0.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2.95" customHeight="1" x14ac:dyDescent="0.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2.95" customHeight="1" x14ac:dyDescent="0.2">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2.95" customHeight="1" x14ac:dyDescent="0.2">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2.95" customHeight="1" x14ac:dyDescent="0.2">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2.95" customHeight="1" x14ac:dyDescent="0.2">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2.95" customHeight="1" x14ac:dyDescent="0.2">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2.95" customHeight="1" x14ac:dyDescent="0.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2.95" customHeight="1" x14ac:dyDescent="0.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2.95" customHeight="1" x14ac:dyDescent="0.2">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2.95" customHeight="1" x14ac:dyDescent="0.2">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2.95" customHeight="1" x14ac:dyDescent="0.2">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2.95" customHeight="1" x14ac:dyDescent="0.2">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2.95" customHeight="1" x14ac:dyDescent="0.2">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2.95" customHeight="1" x14ac:dyDescent="0.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2.95" customHeight="1" x14ac:dyDescent="0.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2.95" customHeight="1" x14ac:dyDescent="0.2">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2.95" customHeight="1" x14ac:dyDescent="0.2">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2.95" customHeight="1" x14ac:dyDescent="0.2">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2.95" customHeight="1" x14ac:dyDescent="0.2">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2.95" customHeight="1" x14ac:dyDescent="0.2">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2.95" customHeight="1" x14ac:dyDescent="0.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2.95" customHeight="1" x14ac:dyDescent="0.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2.95" customHeight="1" x14ac:dyDescent="0.2">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2.95" customHeight="1" x14ac:dyDescent="0.2">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2.95" customHeight="1" x14ac:dyDescent="0.2">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2.95" customHeight="1" x14ac:dyDescent="0.2">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2.95" customHeight="1" x14ac:dyDescent="0.2">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2.95" customHeight="1" x14ac:dyDescent="0.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2.95" customHeight="1" x14ac:dyDescent="0.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2.95" customHeight="1" x14ac:dyDescent="0.2">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2.95" customHeight="1" x14ac:dyDescent="0.2">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2.95" customHeight="1" x14ac:dyDescent="0.2">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2.95" customHeight="1" x14ac:dyDescent="0.2">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2.95" customHeight="1" x14ac:dyDescent="0.2">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2.95" customHeight="1" x14ac:dyDescent="0.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2.95" customHeight="1" x14ac:dyDescent="0.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2.95" customHeight="1" x14ac:dyDescent="0.2">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2.95" customHeight="1" x14ac:dyDescent="0.2">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2.95" customHeight="1" x14ac:dyDescent="0.2">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2.95" customHeight="1" x14ac:dyDescent="0.2">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2.95" customHeight="1" x14ac:dyDescent="0.2">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2.95" customHeight="1" x14ac:dyDescent="0.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2.95" customHeight="1" x14ac:dyDescent="0.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2.95" customHeight="1" x14ac:dyDescent="0.2">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2.95" customHeight="1" x14ac:dyDescent="0.2">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2.95" customHeight="1" x14ac:dyDescent="0.2">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2.95" customHeight="1" x14ac:dyDescent="0.2">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2.95" customHeight="1" x14ac:dyDescent="0.2">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2.95" customHeight="1" x14ac:dyDescent="0.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2.95" customHeight="1" x14ac:dyDescent="0.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2.95" customHeight="1" x14ac:dyDescent="0.2">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2.95" customHeight="1" x14ac:dyDescent="0.2">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2.95" customHeight="1" x14ac:dyDescent="0.2">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2.95" customHeight="1" x14ac:dyDescent="0.2">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2.95" customHeight="1" x14ac:dyDescent="0.2">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2.95" customHeight="1" x14ac:dyDescent="0.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2.95" customHeight="1" x14ac:dyDescent="0.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2.95" customHeight="1" x14ac:dyDescent="0.2">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2.95" customHeight="1" x14ac:dyDescent="0.2">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2.95" customHeight="1" x14ac:dyDescent="0.2">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2.95" customHeight="1" x14ac:dyDescent="0.2">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2.95" customHeight="1" x14ac:dyDescent="0.2">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2.95" customHeight="1" x14ac:dyDescent="0.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2.95" customHeight="1" x14ac:dyDescent="0.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2.95" customHeight="1" x14ac:dyDescent="0.2">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2.95" customHeight="1" x14ac:dyDescent="0.2">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2.95" customHeight="1" x14ac:dyDescent="0.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2.95" customHeight="1" x14ac:dyDescent="0.2">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2.95" customHeight="1" x14ac:dyDescent="0.2">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2.95" customHeight="1" x14ac:dyDescent="0.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2.95" customHeight="1" x14ac:dyDescent="0.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2.95" customHeight="1" x14ac:dyDescent="0.2">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2.95" customHeight="1" x14ac:dyDescent="0.2">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2.95" customHeight="1" x14ac:dyDescent="0.2">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2.95" customHeight="1" x14ac:dyDescent="0.2">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2.95" customHeight="1" x14ac:dyDescent="0.2">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2.95" customHeight="1" x14ac:dyDescent="0.2">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2.95" customHeight="1" x14ac:dyDescent="0.2">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2.95" customHeight="1" x14ac:dyDescent="0.2">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2.95" customHeight="1" x14ac:dyDescent="0.2">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2.95" customHeight="1" x14ac:dyDescent="0.2">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2.95" customHeight="1" x14ac:dyDescent="0.2">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2.95" customHeight="1" x14ac:dyDescent="0.2">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2.95" customHeight="1" x14ac:dyDescent="0.2">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2.95" customHeight="1" x14ac:dyDescent="0.2">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2.95" customHeight="1" x14ac:dyDescent="0.2">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2.95" customHeight="1" x14ac:dyDescent="0.2">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2.95" customHeight="1" x14ac:dyDescent="0.2">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2.95" customHeight="1" x14ac:dyDescent="0.2">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2.95" customHeight="1" x14ac:dyDescent="0.2">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2.95" customHeight="1" x14ac:dyDescent="0.2">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2.95" customHeight="1" x14ac:dyDescent="0.2">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2.95" customHeight="1" x14ac:dyDescent="0.2">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2.95" customHeight="1" x14ac:dyDescent="0.2">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2.95" customHeight="1" x14ac:dyDescent="0.2">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2.95" customHeight="1" x14ac:dyDescent="0.2">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2.95" customHeight="1" x14ac:dyDescent="0.2">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2.95" customHeight="1" x14ac:dyDescent="0.2">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2.95" customHeight="1" x14ac:dyDescent="0.2">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2.95" customHeight="1" x14ac:dyDescent="0.2">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2.95" customHeight="1" x14ac:dyDescent="0.2">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2.95" customHeight="1" x14ac:dyDescent="0.2">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2.95" customHeight="1" x14ac:dyDescent="0.2">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2.95" customHeight="1" x14ac:dyDescent="0.2">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2.95" customHeight="1" x14ac:dyDescent="0.2">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2.95" customHeight="1" x14ac:dyDescent="0.2">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2.95" customHeight="1" x14ac:dyDescent="0.2">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2.95" customHeight="1" x14ac:dyDescent="0.2">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2.95" customHeight="1" x14ac:dyDescent="0.2">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2.95" customHeight="1" x14ac:dyDescent="0.2">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2.95" customHeight="1" x14ac:dyDescent="0.2">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2.95" customHeight="1" x14ac:dyDescent="0.2">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2.95" customHeight="1" x14ac:dyDescent="0.2">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2.95" customHeight="1" x14ac:dyDescent="0.2">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2.95" customHeight="1" x14ac:dyDescent="0.2">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2.95" customHeight="1" x14ac:dyDescent="0.2">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2.95" customHeight="1" x14ac:dyDescent="0.2">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2.95" customHeight="1" x14ac:dyDescent="0.2">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2.95" customHeight="1" x14ac:dyDescent="0.2">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2.95" customHeight="1" x14ac:dyDescent="0.2">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2.95" customHeight="1" x14ac:dyDescent="0.2">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2.95" customHeight="1" x14ac:dyDescent="0.2">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2.95" customHeight="1" x14ac:dyDescent="0.2">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2.95" customHeight="1" x14ac:dyDescent="0.2">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2.95" customHeight="1" x14ac:dyDescent="0.2">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2.95" customHeight="1" x14ac:dyDescent="0.2">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2.95" customHeight="1" x14ac:dyDescent="0.2">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2.95" customHeight="1" x14ac:dyDescent="0.2">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2.95" customHeight="1" x14ac:dyDescent="0.2">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2.95" customHeight="1" x14ac:dyDescent="0.2">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2.95" customHeight="1" x14ac:dyDescent="0.2">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2.95" customHeight="1" x14ac:dyDescent="0.2">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2.95" customHeight="1" x14ac:dyDescent="0.2">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2.95" customHeight="1" x14ac:dyDescent="0.2">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2.95" customHeight="1" x14ac:dyDescent="0.2">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2.95" customHeight="1" x14ac:dyDescent="0.2">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2.95" customHeight="1" x14ac:dyDescent="0.2">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2.95" customHeight="1" x14ac:dyDescent="0.2">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2.95" customHeight="1" x14ac:dyDescent="0.2">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2.95" customHeight="1" x14ac:dyDescent="0.2">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2.95" customHeight="1" x14ac:dyDescent="0.2">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2.95" customHeight="1" x14ac:dyDescent="0.2">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2.95" customHeight="1" x14ac:dyDescent="0.2">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2.95" customHeight="1" x14ac:dyDescent="0.2">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2.95" customHeight="1" x14ac:dyDescent="0.2">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2.95" customHeight="1" x14ac:dyDescent="0.2">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2.95" customHeight="1" x14ac:dyDescent="0.2">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2.95" customHeight="1" x14ac:dyDescent="0.2">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2.95" customHeight="1" x14ac:dyDescent="0.2">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2.95" customHeight="1" x14ac:dyDescent="0.2">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2.95" customHeight="1" x14ac:dyDescent="0.2">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2.95" customHeight="1" x14ac:dyDescent="0.2">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2.95" customHeight="1" x14ac:dyDescent="0.2">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sheetData>
  <mergeCells count="15">
    <mergeCell ref="C76:E76"/>
    <mergeCell ref="C83:E83"/>
    <mergeCell ref="C84:E84"/>
    <mergeCell ref="C85:E85"/>
    <mergeCell ref="C78:E78"/>
    <mergeCell ref="C4:K4"/>
    <mergeCell ref="C6:K6"/>
    <mergeCell ref="C10:L10"/>
    <mergeCell ref="C74:E74"/>
    <mergeCell ref="C75:E75"/>
    <mergeCell ref="C97:K97"/>
    <mergeCell ref="C98:K98"/>
    <mergeCell ref="C94:K94"/>
    <mergeCell ref="C95:K95"/>
    <mergeCell ref="C96:K96"/>
  </mergeCells>
  <hyperlinks>
    <hyperlink ref="C38" location="Table9" display="Go to machinery operations" xr:uid="{00000000-0004-0000-0900-000000000000}"/>
  </hyperlinks>
  <pageMargins left="0.7" right="0.7" top="0.75" bottom="0.75" header="0.3" footer="0.3"/>
  <pageSetup scale="84" fitToHeight="2" orientation="portrait" r:id="rId1"/>
  <headerFooter alignWithMargins="0">
    <oddFooter>&amp;L&amp;A&amp;C&amp;F&amp;R&amp;D</oddFooter>
  </headerFooter>
  <rowBreaks count="1" manualBreakCount="1">
    <brk id="71"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1">
    <pageSetUpPr autoPageBreaks="0"/>
  </sheetPr>
  <dimension ref="A1:AL867"/>
  <sheetViews>
    <sheetView zoomScale="90" zoomScaleNormal="90" zoomScaleSheetLayoutView="100" workbookViewId="0">
      <selection activeCell="P16" sqref="P16"/>
    </sheetView>
  </sheetViews>
  <sheetFormatPr defaultColWidth="18.7109375" defaultRowHeight="12.95" customHeight="1" x14ac:dyDescent="0.2"/>
  <cols>
    <col min="1" max="1" width="3.28515625" style="154" customWidth="1"/>
    <col min="2" max="2" width="0.5703125" style="31" customWidth="1"/>
    <col min="3" max="3" width="27.71093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10.7109375" style="31" bestFit="1" customWidth="1"/>
    <col min="12" max="12" width="7.140625" style="121" customWidth="1"/>
    <col min="13" max="13" width="0.5703125" style="31" customWidth="1"/>
    <col min="14" max="14" width="28.42578125" customWidth="1"/>
    <col min="15" max="15" width="2.42578125" customWidth="1"/>
    <col min="16" max="16" width="12" style="48" customWidth="1"/>
    <col min="17" max="17" width="2.42578125" customWidth="1"/>
    <col min="18" max="18" width="11" style="18" customWidth="1"/>
    <col min="19" max="19" width="2.42578125" customWidth="1"/>
    <col min="20" max="20" width="10.7109375" style="48" customWidth="1"/>
    <col min="21" max="21" width="2.42578125" customWidth="1"/>
    <col min="22" max="22" width="10.7109375" style="30" bestFit="1" customWidth="1"/>
    <col min="23" max="23" width="3.28515625" hidden="1" customWidth="1"/>
  </cols>
  <sheetData>
    <row r="1" spans="1:38" s="31" customFormat="1" ht="12" customHeight="1" x14ac:dyDescent="0.25">
      <c r="A1" s="249"/>
      <c r="L1" s="121"/>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M2" s="44"/>
      <c r="W2" s="44"/>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M3" s="117"/>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M4" s="119"/>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M5" s="120"/>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M6" s="105"/>
      <c r="X6" s="532"/>
      <c r="Y6" s="532"/>
      <c r="Z6" s="532"/>
      <c r="AA6" s="532"/>
      <c r="AB6" s="532"/>
      <c r="AC6" s="532"/>
      <c r="AD6" s="532"/>
      <c r="AE6" s="532"/>
      <c r="AF6" s="532"/>
      <c r="AG6" s="532"/>
      <c r="AH6" s="532"/>
      <c r="AI6" s="532"/>
      <c r="AJ6" s="532"/>
      <c r="AK6" s="532"/>
      <c r="AL6" s="532"/>
    </row>
    <row r="7" spans="1:38" s="31" customFormat="1" ht="25.5" customHeight="1" x14ac:dyDescent="0.2">
      <c r="A7" s="198"/>
      <c r="L7" s="121"/>
      <c r="P7" s="46"/>
      <c r="R7" s="32"/>
      <c r="T7" s="46"/>
      <c r="X7" s="532"/>
      <c r="Y7" s="532"/>
      <c r="Z7" s="532"/>
      <c r="AA7" s="532"/>
      <c r="AB7" s="532"/>
      <c r="AC7" s="532"/>
      <c r="AD7" s="532"/>
      <c r="AE7" s="532"/>
      <c r="AF7" s="532"/>
      <c r="AG7" s="532"/>
      <c r="AH7" s="532"/>
      <c r="AI7" s="532"/>
      <c r="AJ7" s="532"/>
      <c r="AK7" s="532"/>
      <c r="AL7" s="532"/>
    </row>
    <row r="8" spans="1:38" s="31" customFormat="1" ht="15.75" x14ac:dyDescent="0.25">
      <c r="A8" s="249"/>
      <c r="C8" s="197" t="s">
        <v>509</v>
      </c>
      <c r="L8" s="121"/>
      <c r="N8" s="197" t="s">
        <v>509</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75" x14ac:dyDescent="0.25">
      <c r="A10" s="198"/>
      <c r="B10" s="68"/>
      <c r="C10" s="182" t="s">
        <v>224</v>
      </c>
      <c r="D10" s="68"/>
      <c r="E10" s="68"/>
      <c r="F10" s="68"/>
      <c r="G10" s="68"/>
      <c r="H10" s="68"/>
      <c r="I10" s="68"/>
      <c r="J10" s="68"/>
      <c r="K10" s="68"/>
      <c r="L10" s="92"/>
      <c r="M10" s="68"/>
      <c r="N10" s="677" t="s">
        <v>164</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x14ac:dyDescent="0.2">
      <c r="A11" s="218"/>
      <c r="B11" s="84"/>
      <c r="C11" s="199"/>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
      <c r="A12" s="108"/>
      <c r="B12" s="123"/>
      <c r="C12" s="123"/>
      <c r="D12" s="123"/>
      <c r="E12" s="124" t="s">
        <v>87</v>
      </c>
      <c r="F12" s="124"/>
      <c r="G12" s="125"/>
      <c r="H12" s="124"/>
      <c r="I12" s="124" t="s">
        <v>88</v>
      </c>
      <c r="J12" s="124"/>
      <c r="K12" s="124" t="s">
        <v>89</v>
      </c>
      <c r="L12" s="185"/>
      <c r="M12" s="123"/>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25" x14ac:dyDescent="0.2">
      <c r="A13" s="108"/>
      <c r="B13" s="123"/>
      <c r="C13" s="126" t="s">
        <v>90</v>
      </c>
      <c r="D13" s="123"/>
      <c r="E13" s="124" t="s">
        <v>41</v>
      </c>
      <c r="F13" s="124"/>
      <c r="G13" s="125" t="s">
        <v>42</v>
      </c>
      <c r="H13" s="124"/>
      <c r="I13" s="124" t="s">
        <v>1</v>
      </c>
      <c r="J13" s="124"/>
      <c r="K13" s="124" t="s">
        <v>67</v>
      </c>
      <c r="L13" s="185"/>
      <c r="M13" s="123"/>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ht="12.75" x14ac:dyDescent="0.2">
      <c r="B15" s="9"/>
      <c r="C15" s="9"/>
      <c r="D15" s="9"/>
      <c r="E15" s="58"/>
      <c r="F15" s="9"/>
      <c r="G15" s="13"/>
      <c r="H15" s="9"/>
      <c r="I15" s="63"/>
      <c r="J15" s="9"/>
      <c r="K15" s="11"/>
      <c r="L15" s="186"/>
      <c r="M15" s="9"/>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ht="12.75" x14ac:dyDescent="0.2">
      <c r="B16" s="6"/>
      <c r="C16" s="5"/>
      <c r="D16" s="6"/>
      <c r="E16" s="34"/>
      <c r="F16" s="6"/>
      <c r="G16" s="7"/>
      <c r="H16" s="6"/>
      <c r="I16" s="49"/>
      <c r="J16" s="6"/>
      <c r="K16" s="14"/>
      <c r="L16" s="186"/>
      <c r="M16" s="6"/>
      <c r="N16" s="180" t="s">
        <v>540</v>
      </c>
      <c r="O16" s="9"/>
      <c r="P16" s="115">
        <f>ySWWW_CR</f>
        <v>78</v>
      </c>
      <c r="Q16" s="9"/>
      <c r="R16" s="10" t="s">
        <v>91</v>
      </c>
      <c r="S16" s="9"/>
      <c r="T16" s="116">
        <f>Summary!F28</f>
        <v>6.42</v>
      </c>
      <c r="U16" s="9"/>
      <c r="V16" s="11">
        <f>P16*T16</f>
        <v>500.76</v>
      </c>
      <c r="W16" s="12"/>
      <c r="X16" s="532"/>
      <c r="Y16" s="532"/>
      <c r="Z16" s="532"/>
      <c r="AA16" s="532"/>
      <c r="AB16" s="532"/>
      <c r="AC16" s="532"/>
      <c r="AD16" s="532"/>
      <c r="AE16" s="532"/>
      <c r="AF16" s="532"/>
      <c r="AG16" s="532"/>
      <c r="AH16" s="532"/>
      <c r="AI16" s="532"/>
      <c r="AJ16" s="532"/>
      <c r="AK16" s="532"/>
      <c r="AL16" s="532"/>
    </row>
    <row r="17" spans="1:38" ht="12.75" x14ac:dyDescent="0.2">
      <c r="B17" s="6"/>
      <c r="C17" s="6"/>
      <c r="D17" s="6"/>
      <c r="E17" s="34"/>
      <c r="F17" s="6"/>
      <c r="G17" s="7"/>
      <c r="H17" s="6"/>
      <c r="I17" s="49"/>
      <c r="J17" s="6"/>
      <c r="K17" s="14"/>
      <c r="L17" s="186"/>
      <c r="M17" s="6"/>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1:38" ht="12.75" x14ac:dyDescent="0.2">
      <c r="B18" s="6"/>
      <c r="C18" s="5" t="s">
        <v>48</v>
      </c>
      <c r="D18" s="6"/>
      <c r="E18" s="34"/>
      <c r="F18" s="6"/>
      <c r="G18" s="7"/>
      <c r="H18" s="6"/>
      <c r="I18" s="49"/>
      <c r="J18" s="6"/>
      <c r="K18" s="14"/>
      <c r="L18" s="187"/>
      <c r="M18" s="6"/>
      <c r="N18" s="5" t="s">
        <v>48</v>
      </c>
      <c r="O18" s="6"/>
      <c r="P18" s="253"/>
      <c r="Q18" s="6"/>
      <c r="R18" s="7"/>
      <c r="S18" s="6"/>
      <c r="T18" s="49"/>
      <c r="U18" s="6"/>
      <c r="V18" s="14"/>
      <c r="X18" s="532"/>
      <c r="Y18" s="532"/>
      <c r="Z18" s="532"/>
      <c r="AA18" s="532"/>
      <c r="AB18" s="532"/>
      <c r="AC18" s="532"/>
      <c r="AD18" s="532"/>
      <c r="AE18" s="532"/>
      <c r="AF18" s="532"/>
      <c r="AG18" s="532"/>
      <c r="AH18" s="532"/>
      <c r="AI18" s="532"/>
      <c r="AJ18" s="532"/>
      <c r="AK18" s="532"/>
      <c r="AL18" s="532"/>
    </row>
    <row r="19" spans="1:38" ht="12.75" x14ac:dyDescent="0.2">
      <c r="B19" s="7"/>
      <c r="C19" s="7"/>
      <c r="D19" s="7"/>
      <c r="E19" s="7"/>
      <c r="F19" s="7"/>
      <c r="G19" s="7"/>
      <c r="H19" s="7"/>
      <c r="I19" s="7"/>
      <c r="J19" s="7"/>
      <c r="K19" s="14"/>
      <c r="L19" s="188"/>
      <c r="M19" s="7"/>
      <c r="N19" s="6"/>
      <c r="O19" s="6"/>
      <c r="P19" s="253"/>
      <c r="Q19" s="6"/>
      <c r="R19" s="7"/>
      <c r="S19" s="6"/>
      <c r="T19" s="49"/>
      <c r="U19" s="6"/>
      <c r="V19" s="14"/>
      <c r="X19" s="532"/>
      <c r="Y19" s="532"/>
      <c r="Z19" s="532"/>
      <c r="AA19" s="532"/>
      <c r="AB19" s="532"/>
      <c r="AC19" s="532"/>
      <c r="AD19" s="532"/>
      <c r="AE19" s="532"/>
      <c r="AF19" s="532"/>
      <c r="AG19" s="532"/>
      <c r="AH19" s="532"/>
      <c r="AI19" s="532"/>
      <c r="AJ19" s="532"/>
      <c r="AK19" s="532"/>
      <c r="AL19" s="532"/>
    </row>
    <row r="20" spans="1:38" ht="15.75" x14ac:dyDescent="0.25">
      <c r="B20" s="7"/>
      <c r="C20" s="7"/>
      <c r="D20" s="7"/>
      <c r="E20" s="7"/>
      <c r="F20" s="7"/>
      <c r="G20" s="7"/>
      <c r="H20" s="7"/>
      <c r="I20" s="7"/>
      <c r="J20" s="7"/>
      <c r="K20" s="14"/>
      <c r="L20" s="188"/>
      <c r="M20" s="7"/>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1:38" ht="12.75" x14ac:dyDescent="0.2">
      <c r="B21" s="7"/>
      <c r="C21" s="7"/>
      <c r="D21" s="7"/>
      <c r="E21" s="7"/>
      <c r="F21" s="7"/>
      <c r="G21" s="7"/>
      <c r="H21" s="7"/>
      <c r="I21" s="7"/>
      <c r="J21" s="7"/>
      <c r="K21" s="14"/>
      <c r="L21" s="186"/>
      <c r="M21" s="7"/>
      <c r="N21" s="15" t="s">
        <v>92</v>
      </c>
      <c r="O21" s="6"/>
      <c r="P21" s="114">
        <v>80</v>
      </c>
      <c r="Q21" s="6"/>
      <c r="R21" s="16" t="s">
        <v>62</v>
      </c>
      <c r="S21" s="6"/>
      <c r="T21" s="111">
        <f>sdSWWW</f>
        <v>0.24</v>
      </c>
      <c r="U21" s="6"/>
      <c r="V21" s="14">
        <f>P21*T21</f>
        <v>19.2</v>
      </c>
      <c r="X21" s="532"/>
      <c r="Y21" s="532"/>
      <c r="Z21" s="532"/>
      <c r="AA21" s="532"/>
      <c r="AB21" s="532"/>
      <c r="AC21" s="532"/>
      <c r="AD21" s="532"/>
      <c r="AE21" s="532"/>
      <c r="AF21" s="532"/>
      <c r="AG21" s="532"/>
      <c r="AH21" s="532"/>
      <c r="AI21" s="532"/>
      <c r="AJ21" s="532"/>
      <c r="AK21" s="532"/>
      <c r="AL21" s="532"/>
    </row>
    <row r="22" spans="1:38" ht="12.75" x14ac:dyDescent="0.2">
      <c r="B22" s="7"/>
      <c r="C22" s="7"/>
      <c r="D22" s="7"/>
      <c r="E22" s="7"/>
      <c r="F22" s="7"/>
      <c r="G22" s="7"/>
      <c r="H22" s="7"/>
      <c r="I22" s="7"/>
      <c r="J22" s="7"/>
      <c r="K22" s="14"/>
      <c r="L22" s="186"/>
      <c r="M22" s="7"/>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1:38" ht="12.75" x14ac:dyDescent="0.2">
      <c r="B23" s="6"/>
      <c r="C23" s="40" t="s">
        <v>121</v>
      </c>
      <c r="D23" s="6"/>
      <c r="E23" s="34"/>
      <c r="F23" s="6"/>
      <c r="G23" s="7"/>
      <c r="H23" s="6"/>
      <c r="I23" s="57"/>
      <c r="J23" s="6"/>
      <c r="K23" s="107">
        <f>SUM(K24:K27)</f>
        <v>69.399999999999991</v>
      </c>
      <c r="L23" s="188"/>
      <c r="M23" s="6"/>
      <c r="N23" s="40" t="s">
        <v>121</v>
      </c>
      <c r="O23" s="6"/>
      <c r="P23" s="34"/>
      <c r="Q23" s="6"/>
      <c r="R23" s="7"/>
      <c r="S23" s="6"/>
      <c r="T23" s="57"/>
      <c r="U23" s="6"/>
      <c r="V23" s="107">
        <f>SUM(V24:W27)</f>
        <v>0</v>
      </c>
      <c r="X23" s="532"/>
      <c r="Y23" s="532"/>
      <c r="Z23" s="532"/>
      <c r="AA23" s="532"/>
      <c r="AB23" s="532"/>
      <c r="AC23" s="532"/>
      <c r="AD23" s="532"/>
      <c r="AE23" s="532"/>
      <c r="AF23" s="532"/>
      <c r="AG23" s="532"/>
      <c r="AH23" s="532"/>
      <c r="AI23" s="532"/>
      <c r="AJ23" s="532"/>
      <c r="AK23" s="532"/>
      <c r="AL23" s="532"/>
    </row>
    <row r="24" spans="1:38" ht="12.75" x14ac:dyDescent="0.2">
      <c r="B24" s="6"/>
      <c r="C24" s="43" t="s">
        <v>124</v>
      </c>
      <c r="D24" s="6"/>
      <c r="E24" s="114">
        <v>70</v>
      </c>
      <c r="F24" s="6"/>
      <c r="G24" s="16" t="s">
        <v>62</v>
      </c>
      <c r="H24" s="6"/>
      <c r="I24" s="111">
        <f>Nitrogen</f>
        <v>0.77</v>
      </c>
      <c r="J24" s="6"/>
      <c r="K24" s="17">
        <f>E24*I24</f>
        <v>53.9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1:38" ht="12.75" x14ac:dyDescent="0.2">
      <c r="B25" s="6"/>
      <c r="C25" s="43" t="s">
        <v>427</v>
      </c>
      <c r="D25" s="6"/>
      <c r="E25" s="114">
        <v>15</v>
      </c>
      <c r="F25" s="6"/>
      <c r="G25" s="16" t="s">
        <v>62</v>
      </c>
      <c r="H25" s="6"/>
      <c r="I25" s="111">
        <f>Phosphorous</f>
        <v>0.66</v>
      </c>
      <c r="J25" s="6"/>
      <c r="K25" s="17">
        <f>E25*I25</f>
        <v>9.9</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1:38" ht="12.75" x14ac:dyDescent="0.2">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1:38" ht="12.75" x14ac:dyDescent="0.2">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1:38" ht="4.5" customHeight="1" x14ac:dyDescent="0.2">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1:38" ht="12.75" x14ac:dyDescent="0.2">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1:38" ht="12.75" x14ac:dyDescent="0.2">
      <c r="B30" s="6"/>
      <c r="C30" s="43" t="s">
        <v>191</v>
      </c>
      <c r="D30" s="6"/>
      <c r="E30" s="112">
        <v>24</v>
      </c>
      <c r="F30" s="6"/>
      <c r="G30" s="104" t="s">
        <v>64</v>
      </c>
      <c r="H30" s="6"/>
      <c r="I30" s="111">
        <f>Glyphosphate</f>
        <v>0.2</v>
      </c>
      <c r="J30" s="6"/>
      <c r="K30" s="17">
        <f t="shared" ref="K30:K36" si="0">E30*I30</f>
        <v>4.8000000000000007</v>
      </c>
      <c r="L30" s="189"/>
      <c r="M30" s="6"/>
      <c r="N30" s="43" t="s">
        <v>565</v>
      </c>
      <c r="O30" s="6"/>
      <c r="P30" s="112">
        <v>10</v>
      </c>
      <c r="Q30" s="6"/>
      <c r="R30" s="104" t="s">
        <v>64</v>
      </c>
      <c r="S30" s="6"/>
      <c r="T30" s="111">
        <f>axiom</f>
        <v>2.14</v>
      </c>
      <c r="U30" s="6"/>
      <c r="V30" s="17">
        <f t="shared" ref="V30:V36" si="1">P30*T30</f>
        <v>21.400000000000002</v>
      </c>
      <c r="X30" s="532"/>
      <c r="Y30" s="532"/>
      <c r="Z30" s="532"/>
      <c r="AA30" s="532"/>
      <c r="AB30" s="532"/>
      <c r="AC30" s="532"/>
      <c r="AD30" s="532"/>
      <c r="AE30" s="532"/>
      <c r="AF30" s="532"/>
      <c r="AG30" s="532"/>
      <c r="AH30" s="532"/>
      <c r="AI30" s="532"/>
      <c r="AJ30" s="532"/>
      <c r="AK30" s="532"/>
      <c r="AL30" s="532"/>
    </row>
    <row r="31" spans="1:38" ht="12.75" x14ac:dyDescent="0.2">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532"/>
      <c r="Y31" s="532"/>
      <c r="Z31" s="532"/>
      <c r="AA31" s="532"/>
      <c r="AB31" s="532"/>
      <c r="AC31" s="532"/>
      <c r="AD31" s="532"/>
      <c r="AE31" s="532"/>
      <c r="AF31" s="532"/>
      <c r="AG31" s="532"/>
      <c r="AH31" s="532"/>
      <c r="AI31" s="532"/>
      <c r="AJ31" s="532"/>
      <c r="AK31" s="532"/>
      <c r="AL31" s="532"/>
    </row>
    <row r="32" spans="1:38" ht="12.75" x14ac:dyDescent="0.2">
      <c r="A32" s="532"/>
      <c r="B32" s="6"/>
      <c r="C32" s="43" t="s">
        <v>571</v>
      </c>
      <c r="D32" s="6"/>
      <c r="E32" s="112">
        <v>1.7</v>
      </c>
      <c r="F32" s="6"/>
      <c r="G32" s="104" t="s">
        <v>62</v>
      </c>
      <c r="H32" s="6"/>
      <c r="I32" s="111">
        <f>AmSulf</f>
        <v>0.42</v>
      </c>
      <c r="J32" s="6"/>
      <c r="K32" s="17">
        <f t="shared" ref="K32" si="2">E32*I32</f>
        <v>0.71399999999999997</v>
      </c>
      <c r="L32" s="188"/>
      <c r="M32" s="6"/>
      <c r="N32" s="43" t="s">
        <v>571</v>
      </c>
      <c r="O32" s="6"/>
      <c r="P32" s="112">
        <v>1.5</v>
      </c>
      <c r="Q32" s="6"/>
      <c r="R32" s="104" t="s">
        <v>62</v>
      </c>
      <c r="S32" s="6"/>
      <c r="T32" s="111">
        <f>AmSulf</f>
        <v>0.42</v>
      </c>
      <c r="U32" s="6"/>
      <c r="V32" s="17">
        <f t="shared" ref="V32" si="3">P32*T32</f>
        <v>0.63</v>
      </c>
      <c r="X32" s="532"/>
      <c r="Y32" s="532"/>
      <c r="Z32" s="532"/>
      <c r="AA32" s="532"/>
      <c r="AB32" s="532"/>
      <c r="AC32" s="532"/>
      <c r="AD32" s="532"/>
      <c r="AE32" s="532"/>
      <c r="AF32" s="532"/>
      <c r="AG32" s="532"/>
      <c r="AH32" s="532"/>
      <c r="AI32" s="532"/>
      <c r="AJ32" s="532"/>
      <c r="AK32" s="532"/>
      <c r="AL32" s="532"/>
    </row>
    <row r="33" spans="1:38" ht="12.75" x14ac:dyDescent="0.2">
      <c r="B33" s="6"/>
      <c r="C33" s="43"/>
      <c r="D33" s="6"/>
      <c r="E33" s="112"/>
      <c r="F33" s="6"/>
      <c r="G33" s="104"/>
      <c r="H33" s="6"/>
      <c r="I33" s="111"/>
      <c r="J33" s="6"/>
      <c r="K33" s="17">
        <f t="shared" si="0"/>
        <v>0</v>
      </c>
      <c r="L33" s="188"/>
      <c r="M33" s="6"/>
      <c r="N33" s="43" t="s">
        <v>572</v>
      </c>
      <c r="O33" s="6"/>
      <c r="P33" s="112">
        <v>6.4</v>
      </c>
      <c r="Q33" s="6"/>
      <c r="R33" s="104" t="s">
        <v>64</v>
      </c>
      <c r="S33" s="6"/>
      <c r="T33" s="111">
        <f>NIS</f>
        <v>0.14000000000000001</v>
      </c>
      <c r="U33" s="6"/>
      <c r="V33" s="17">
        <f t="shared" si="1"/>
        <v>0.89600000000000013</v>
      </c>
      <c r="X33" s="532"/>
      <c r="Y33" s="532"/>
      <c r="Z33" s="532"/>
      <c r="AA33" s="532"/>
      <c r="AB33" s="532"/>
      <c r="AC33" s="532"/>
      <c r="AD33" s="532"/>
      <c r="AE33" s="532"/>
      <c r="AF33" s="532"/>
      <c r="AG33" s="532"/>
      <c r="AH33" s="532"/>
      <c r="AI33" s="532"/>
      <c r="AJ33" s="532"/>
      <c r="AK33" s="532"/>
      <c r="AL33" s="532"/>
    </row>
    <row r="34" spans="1:38" ht="12.75" x14ac:dyDescent="0.2">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532"/>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ht="12.75" x14ac:dyDescent="0.2">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x14ac:dyDescent="0.2">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ht="12.75" x14ac:dyDescent="0.2">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ht="12.75" x14ac:dyDescent="0.2">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ht="12.75" x14ac:dyDescent="0.2">
      <c r="A40" s="505"/>
      <c r="B40" s="6"/>
      <c r="C40" s="130" t="s">
        <v>102</v>
      </c>
      <c r="D40" s="6"/>
      <c r="E40" s="33">
        <v>1</v>
      </c>
      <c r="F40" s="6"/>
      <c r="G40" s="16" t="s">
        <v>63</v>
      </c>
      <c r="H40" s="6"/>
      <c r="I40" s="109">
        <f>'Machinery Costs'!K228</f>
        <v>11.549999999999999</v>
      </c>
      <c r="J40" s="6"/>
      <c r="K40" s="17">
        <f>E40*I40</f>
        <v>11.549999999999999</v>
      </c>
      <c r="L40" s="188"/>
      <c r="M40" s="6"/>
      <c r="N40" s="130" t="s">
        <v>102</v>
      </c>
      <c r="O40" s="6"/>
      <c r="P40" s="33">
        <v>1</v>
      </c>
      <c r="Q40" s="6"/>
      <c r="R40" s="16" t="s">
        <v>63</v>
      </c>
      <c r="S40" s="6"/>
      <c r="T40" s="109">
        <f>'Machinery Costs'!K256</f>
        <v>8.879999999999999</v>
      </c>
      <c r="U40" s="6"/>
      <c r="V40" s="17">
        <f>P40*T40</f>
        <v>8.879999999999999</v>
      </c>
      <c r="X40" s="532"/>
      <c r="Y40" s="532"/>
      <c r="Z40" s="532"/>
      <c r="AA40" s="532"/>
      <c r="AB40" s="532"/>
      <c r="AC40" s="532"/>
      <c r="AD40" s="532"/>
      <c r="AE40" s="532"/>
      <c r="AF40" s="532"/>
      <c r="AG40" s="532"/>
      <c r="AH40" s="532"/>
      <c r="AI40" s="532"/>
      <c r="AJ40" s="532"/>
      <c r="AK40" s="532"/>
      <c r="AL40" s="532"/>
    </row>
    <row r="41" spans="1:38" ht="12.75" x14ac:dyDescent="0.2">
      <c r="B41" s="6"/>
      <c r="C41" s="30" t="s">
        <v>103</v>
      </c>
      <c r="D41" s="6"/>
      <c r="E41" s="33">
        <v>1</v>
      </c>
      <c r="F41" s="6"/>
      <c r="G41" s="16" t="s">
        <v>63</v>
      </c>
      <c r="H41" s="6"/>
      <c r="I41" s="109">
        <f>'Machinery Costs'!I228</f>
        <v>1.7400000000000002</v>
      </c>
      <c r="J41" s="6"/>
      <c r="K41" s="17">
        <f>E41*I41</f>
        <v>1.7400000000000002</v>
      </c>
      <c r="L41" s="188"/>
      <c r="M41" s="6"/>
      <c r="N41" s="30" t="s">
        <v>103</v>
      </c>
      <c r="O41" s="6"/>
      <c r="P41" s="33">
        <v>1</v>
      </c>
      <c r="Q41" s="6"/>
      <c r="R41" s="16" t="s">
        <v>63</v>
      </c>
      <c r="S41" s="6"/>
      <c r="T41" s="109">
        <f>'Machinery Costs'!I256</f>
        <v>1.35</v>
      </c>
      <c r="U41" s="6"/>
      <c r="V41" s="17">
        <f>P41*T41</f>
        <v>1.35</v>
      </c>
      <c r="X41" s="532"/>
      <c r="Y41" s="532"/>
      <c r="Z41" s="532"/>
      <c r="AA41" s="532"/>
      <c r="AB41" s="532"/>
      <c r="AC41" s="532"/>
      <c r="AD41" s="532"/>
      <c r="AE41" s="532"/>
      <c r="AF41" s="532"/>
      <c r="AG41" s="532"/>
      <c r="AH41" s="532"/>
      <c r="AI41" s="532"/>
      <c r="AJ41" s="532"/>
      <c r="AK41" s="532"/>
      <c r="AL41" s="532"/>
    </row>
    <row r="42" spans="1:38" ht="12.75" x14ac:dyDescent="0.2">
      <c r="B42" s="6"/>
      <c r="C42" s="30" t="s">
        <v>25</v>
      </c>
      <c r="D42" s="6"/>
      <c r="E42" s="33">
        <v>1</v>
      </c>
      <c r="F42" s="6"/>
      <c r="G42" s="16" t="s">
        <v>63</v>
      </c>
      <c r="H42" s="6"/>
      <c r="I42" s="109">
        <f>'Machinery Costs'!H228</f>
        <v>4.71</v>
      </c>
      <c r="J42" s="6"/>
      <c r="K42" s="17">
        <f>E42*I42</f>
        <v>4.71</v>
      </c>
      <c r="L42" s="189"/>
      <c r="M42" s="6"/>
      <c r="N42" s="30" t="s">
        <v>25</v>
      </c>
      <c r="O42" s="6"/>
      <c r="P42" s="33">
        <v>1</v>
      </c>
      <c r="Q42" s="6"/>
      <c r="R42" s="16" t="s">
        <v>63</v>
      </c>
      <c r="S42" s="6"/>
      <c r="T42" s="109">
        <f>'Machinery Costs'!H256</f>
        <v>6.3681000000000001</v>
      </c>
      <c r="U42" s="6"/>
      <c r="V42" s="17">
        <f>P42*T42</f>
        <v>6.3681000000000001</v>
      </c>
      <c r="X42" s="532"/>
      <c r="Y42" s="532"/>
      <c r="Z42" s="532"/>
      <c r="AA42" s="532"/>
      <c r="AB42" s="532"/>
      <c r="AC42" s="532"/>
      <c r="AD42" s="532"/>
      <c r="AE42" s="532"/>
      <c r="AF42" s="532"/>
      <c r="AG42" s="532"/>
      <c r="AH42" s="532"/>
      <c r="AI42" s="532"/>
      <c r="AJ42" s="532"/>
      <c r="AK42" s="532"/>
      <c r="AL42" s="532"/>
    </row>
    <row r="43" spans="1:38" ht="12.75" x14ac:dyDescent="0.2">
      <c r="B43" s="6"/>
      <c r="C43" s="30" t="s">
        <v>54</v>
      </c>
      <c r="D43" s="6"/>
      <c r="E43" s="110">
        <f>'Machinery Costs'!L228</f>
        <v>0.48000000000000009</v>
      </c>
      <c r="F43" s="6"/>
      <c r="G43" s="104" t="s">
        <v>57</v>
      </c>
      <c r="H43" s="6"/>
      <c r="I43" s="111">
        <f>MachLabor</f>
        <v>20</v>
      </c>
      <c r="J43" s="6"/>
      <c r="K43" s="17">
        <f>E43*I43</f>
        <v>9.6000000000000014</v>
      </c>
      <c r="L43" s="188"/>
      <c r="M43" s="6"/>
      <c r="N43" s="30" t="s">
        <v>54</v>
      </c>
      <c r="O43" s="6"/>
      <c r="P43" s="110">
        <f>'Machinery Costs'!L256</f>
        <v>0.53</v>
      </c>
      <c r="Q43" s="6"/>
      <c r="R43" s="104" t="s">
        <v>57</v>
      </c>
      <c r="S43" s="6"/>
      <c r="T43" s="111">
        <f>MachLabor</f>
        <v>20</v>
      </c>
      <c r="U43" s="6"/>
      <c r="V43" s="17">
        <f>P43*T43</f>
        <v>10.600000000000001</v>
      </c>
      <c r="X43" s="532"/>
      <c r="Y43" s="532"/>
      <c r="Z43" s="532"/>
      <c r="AA43" s="532"/>
      <c r="AB43" s="532"/>
      <c r="AC43" s="532"/>
      <c r="AD43" s="532"/>
      <c r="AE43" s="532"/>
      <c r="AF43" s="532"/>
      <c r="AG43" s="532"/>
      <c r="AH43" s="532"/>
      <c r="AI43" s="532"/>
      <c r="AJ43" s="532"/>
      <c r="AK43" s="532"/>
      <c r="AL43" s="532"/>
    </row>
    <row r="44" spans="1:38" ht="6.75" customHeight="1" x14ac:dyDescent="0.2">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ht="12.75" x14ac:dyDescent="0.2">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ht="12.75" x14ac:dyDescent="0.2">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ht="12.75" x14ac:dyDescent="0.2">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ht="12.75" x14ac:dyDescent="0.2">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x14ac:dyDescent="0.2">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x14ac:dyDescent="0.2">
      <c r="B50" s="6"/>
      <c r="C50" s="40"/>
      <c r="D50" s="6"/>
      <c r="E50" s="34"/>
      <c r="F50" s="6"/>
      <c r="G50" s="7"/>
      <c r="H50" s="6"/>
      <c r="I50" s="49"/>
      <c r="J50" s="6"/>
      <c r="K50" s="106"/>
      <c r="L50" s="188"/>
      <c r="M50" s="6"/>
      <c r="N50" s="40" t="s">
        <v>234</v>
      </c>
      <c r="O50" s="6"/>
      <c r="P50" s="34"/>
      <c r="Q50" s="6"/>
      <c r="R50" s="7"/>
      <c r="S50" s="6"/>
      <c r="T50" s="49"/>
      <c r="U50" s="6"/>
      <c r="V50" s="106">
        <f>SUM(V51:V61)</f>
        <v>20.826000000000001</v>
      </c>
      <c r="X50" s="532"/>
      <c r="Y50" s="532"/>
      <c r="Z50" s="532"/>
      <c r="AA50" s="532"/>
      <c r="AB50" s="532"/>
      <c r="AC50" s="532"/>
      <c r="AD50" s="532"/>
      <c r="AE50" s="532"/>
      <c r="AF50" s="532"/>
      <c r="AG50" s="532"/>
      <c r="AH50" s="532"/>
      <c r="AI50" s="532"/>
      <c r="AJ50" s="532"/>
      <c r="AK50" s="532"/>
      <c r="AL50" s="532"/>
    </row>
    <row r="51" spans="2:38" ht="2.25" customHeight="1" x14ac:dyDescent="0.2">
      <c r="B51" s="6"/>
      <c r="C51" s="40"/>
      <c r="D51" s="6"/>
      <c r="E51" s="34"/>
      <c r="F51" s="6"/>
      <c r="G51" s="7"/>
      <c r="H51" s="6"/>
      <c r="I51" s="49"/>
      <c r="J51" s="6"/>
      <c r="K51" s="106"/>
      <c r="L51" s="188"/>
      <c r="M51" s="6"/>
      <c r="N51" s="40"/>
      <c r="O51" s="6"/>
      <c r="P51" s="34"/>
      <c r="Q51" s="6"/>
      <c r="R51" s="7"/>
      <c r="S51" s="6"/>
      <c r="T51" s="234"/>
      <c r="U51" s="6"/>
      <c r="V51" s="209"/>
      <c r="X51" s="532"/>
      <c r="Y51" s="532"/>
      <c r="Z51" s="532"/>
      <c r="AA51" s="532"/>
      <c r="AB51" s="532"/>
      <c r="AC51" s="532"/>
      <c r="AD51" s="532"/>
      <c r="AE51" s="532"/>
      <c r="AF51" s="532"/>
      <c r="AG51" s="532"/>
      <c r="AH51" s="532"/>
      <c r="AI51" s="532"/>
      <c r="AJ51" s="532"/>
      <c r="AK51" s="532"/>
      <c r="AL51" s="532"/>
    </row>
    <row r="52" spans="2:38" ht="12.75" x14ac:dyDescent="0.2">
      <c r="B52" s="6"/>
      <c r="C52" s="40"/>
      <c r="D52" s="6"/>
      <c r="E52" s="34"/>
      <c r="F52" s="6"/>
      <c r="G52" s="7"/>
      <c r="H52" s="6"/>
      <c r="I52" s="49"/>
      <c r="J52" s="6"/>
      <c r="K52" s="106"/>
      <c r="L52" s="188"/>
      <c r="M52" s="6"/>
      <c r="N52" s="130" t="s">
        <v>231</v>
      </c>
      <c r="O52" s="6"/>
      <c r="P52" s="114">
        <v>0</v>
      </c>
      <c r="Q52" s="6"/>
      <c r="R52" s="104" t="s">
        <v>275</v>
      </c>
      <c r="S52" s="6"/>
      <c r="T52" s="248">
        <f>P54*(P55*P16)</f>
        <v>0.78</v>
      </c>
      <c r="U52" s="6"/>
      <c r="V52" s="209">
        <f>P52*T52</f>
        <v>0</v>
      </c>
      <c r="X52" s="532"/>
      <c r="Y52" s="532"/>
      <c r="Z52" s="532"/>
      <c r="AA52" s="532"/>
      <c r="AB52" s="532"/>
      <c r="AC52" s="532"/>
      <c r="AD52" s="532"/>
      <c r="AE52" s="532"/>
      <c r="AF52" s="532"/>
      <c r="AG52" s="532"/>
      <c r="AH52" s="532"/>
      <c r="AI52" s="532"/>
      <c r="AJ52" s="532"/>
      <c r="AK52" s="532"/>
      <c r="AL52" s="532"/>
    </row>
    <row r="53" spans="2:38" ht="12.75" x14ac:dyDescent="0.2">
      <c r="B53" s="6"/>
      <c r="C53" s="40"/>
      <c r="D53" s="6"/>
      <c r="E53" s="34"/>
      <c r="F53" s="6"/>
      <c r="G53" s="7"/>
      <c r="H53" s="6"/>
      <c r="I53" s="49"/>
      <c r="J53" s="6"/>
      <c r="K53" s="106"/>
      <c r="L53" s="188"/>
      <c r="M53" s="6"/>
      <c r="N53" s="56" t="s">
        <v>549</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x14ac:dyDescent="0.2">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ht="12.75" x14ac:dyDescent="0.2">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ht="12.75" x14ac:dyDescent="0.2">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ht="12.75" x14ac:dyDescent="0.2">
      <c r="B57" s="6"/>
      <c r="C57" s="40"/>
      <c r="D57" s="6"/>
      <c r="E57" s="34"/>
      <c r="F57" s="6"/>
      <c r="G57" s="7"/>
      <c r="H57" s="6"/>
      <c r="I57" s="49"/>
      <c r="J57" s="6"/>
      <c r="K57" s="106"/>
      <c r="L57" s="188"/>
      <c r="M57" s="6"/>
      <c r="N57" s="130" t="s">
        <v>548</v>
      </c>
      <c r="O57" s="6"/>
      <c r="P57" s="244">
        <f>P16</f>
        <v>78</v>
      </c>
      <c r="Q57" s="6"/>
      <c r="R57" s="104" t="s">
        <v>91</v>
      </c>
      <c r="S57" s="6"/>
      <c r="T57" s="248">
        <f>(P59*P60)/P61</f>
        <v>0.26700000000000002</v>
      </c>
      <c r="U57" s="6"/>
      <c r="V57" s="209">
        <f>P57*T57</f>
        <v>20.826000000000001</v>
      </c>
      <c r="X57" s="532"/>
      <c r="Y57" s="532"/>
      <c r="Z57" s="532"/>
      <c r="AA57" s="532"/>
      <c r="AB57" s="532"/>
      <c r="AC57" s="532"/>
      <c r="AD57" s="532"/>
      <c r="AE57" s="532"/>
      <c r="AF57" s="532"/>
      <c r="AG57" s="532"/>
      <c r="AH57" s="532"/>
      <c r="AI57" s="532"/>
      <c r="AJ57" s="532"/>
      <c r="AK57" s="532"/>
      <c r="AL57" s="532"/>
    </row>
    <row r="58" spans="2:38" ht="12" customHeight="1" x14ac:dyDescent="0.2">
      <c r="B58" s="6"/>
      <c r="C58" s="40"/>
      <c r="D58" s="6"/>
      <c r="E58" s="34"/>
      <c r="F58" s="6"/>
      <c r="G58" s="7"/>
      <c r="H58" s="6"/>
      <c r="I58" s="49"/>
      <c r="J58" s="6"/>
      <c r="K58" s="106"/>
      <c r="L58" s="188"/>
      <c r="M58" s="6"/>
      <c r="N58" s="56" t="s">
        <v>550</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x14ac:dyDescent="0.2">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x14ac:dyDescent="0.2">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x14ac:dyDescent="0.2">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ht="12.75" x14ac:dyDescent="0.2">
      <c r="B63" s="6"/>
      <c r="C63" s="40" t="s">
        <v>40</v>
      </c>
      <c r="D63" s="6"/>
      <c r="E63" s="34"/>
      <c r="F63" s="6"/>
      <c r="G63" s="7"/>
      <c r="H63" s="6"/>
      <c r="I63" s="49"/>
      <c r="J63" s="6"/>
      <c r="K63" s="106">
        <f>SUM(K64:K66)</f>
        <v>0</v>
      </c>
      <c r="L63" s="188"/>
      <c r="M63" s="6"/>
      <c r="N63" s="40" t="s">
        <v>40</v>
      </c>
      <c r="O63" s="6"/>
      <c r="P63" s="34"/>
      <c r="Q63" s="6"/>
      <c r="R63" s="7"/>
      <c r="S63" s="6"/>
      <c r="T63" s="49"/>
      <c r="U63" s="6"/>
      <c r="V63" s="106">
        <f>SUM(V64:V66)</f>
        <v>19.399999999999999</v>
      </c>
      <c r="X63" s="532"/>
      <c r="Y63" s="532"/>
      <c r="Z63" s="532"/>
      <c r="AA63" s="532"/>
      <c r="AB63" s="532"/>
      <c r="AC63" s="532"/>
      <c r="AD63" s="532"/>
      <c r="AE63" s="532"/>
      <c r="AF63" s="532"/>
      <c r="AG63" s="532"/>
      <c r="AH63" s="532"/>
      <c r="AI63" s="532"/>
      <c r="AJ63" s="532"/>
      <c r="AK63" s="532"/>
      <c r="AL63" s="532"/>
    </row>
    <row r="64" spans="2:38" ht="12.75" x14ac:dyDescent="0.2">
      <c r="B64" s="6"/>
      <c r="C64" s="15"/>
      <c r="D64" s="6"/>
      <c r="E64" s="33"/>
      <c r="F64" s="6"/>
      <c r="G64" s="16"/>
      <c r="H64" s="6"/>
      <c r="I64" s="133"/>
      <c r="J64" s="6"/>
      <c r="K64" s="17">
        <f>E64*I64</f>
        <v>0</v>
      </c>
      <c r="L64" s="188"/>
      <c r="M64" s="6"/>
      <c r="N64" s="15" t="s">
        <v>65</v>
      </c>
      <c r="O64" s="6"/>
      <c r="P64" s="33">
        <v>1</v>
      </c>
      <c r="Q64" s="6"/>
      <c r="R64" s="16" t="s">
        <v>63</v>
      </c>
      <c r="S64" s="6"/>
      <c r="T64" s="111">
        <f>ciSWWW</f>
        <v>19.399999999999999</v>
      </c>
      <c r="U64" s="6"/>
      <c r="V64" s="17">
        <f>P64*T64</f>
        <v>19.399999999999999</v>
      </c>
      <c r="X64" s="532"/>
      <c r="Y64" s="532"/>
      <c r="Z64" s="532"/>
      <c r="AA64" s="532"/>
      <c r="AB64" s="532"/>
      <c r="AC64" s="532"/>
      <c r="AD64" s="532"/>
      <c r="AE64" s="532"/>
      <c r="AF64" s="532"/>
      <c r="AG64" s="532"/>
      <c r="AH64" s="532"/>
      <c r="AI64" s="532"/>
      <c r="AJ64" s="532"/>
      <c r="AK64" s="532"/>
      <c r="AL64" s="532"/>
    </row>
    <row r="65" spans="1:38" ht="12.75" x14ac:dyDescent="0.2">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75" x14ac:dyDescent="0.2">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5.75" customHeight="1" x14ac:dyDescent="0.2">
      <c r="B67" s="6"/>
      <c r="C67" s="40"/>
      <c r="D67" s="6"/>
      <c r="E67" s="34"/>
      <c r="F67" s="6"/>
      <c r="G67" s="7"/>
      <c r="H67" s="6"/>
      <c r="I67" s="49"/>
      <c r="J67" s="6"/>
      <c r="K67" s="106"/>
      <c r="L67" s="188"/>
      <c r="M67" s="6"/>
      <c r="N67" s="5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25" x14ac:dyDescent="0.2">
      <c r="B68" s="6"/>
      <c r="C68" s="56" t="s">
        <v>117</v>
      </c>
      <c r="D68" s="6"/>
      <c r="E68" s="34"/>
      <c r="F68" s="6"/>
      <c r="G68" s="7"/>
      <c r="H68" s="6"/>
      <c r="I68" s="34"/>
      <c r="J68" s="6"/>
      <c r="K68" s="17">
        <f>+(K23+K29+K38+K45+K63)*Operloan*0.75</f>
        <v>4.5209662500000007</v>
      </c>
      <c r="L68" s="188"/>
      <c r="M68" s="6"/>
      <c r="N68" s="56" t="s">
        <v>235</v>
      </c>
      <c r="O68" s="6"/>
      <c r="P68" s="34"/>
      <c r="Q68" s="6"/>
      <c r="R68" s="7"/>
      <c r="S68" s="6"/>
      <c r="T68" s="34"/>
      <c r="U68" s="6"/>
      <c r="V68" s="17">
        <f>+(V20+V23+V29+V38+V45+V50+V63)*Operloan*0.75</f>
        <v>6.6703636875000001</v>
      </c>
      <c r="X68" s="532"/>
      <c r="Y68" s="532"/>
      <c r="Z68" s="532"/>
      <c r="AA68" s="532"/>
      <c r="AB68" s="532"/>
      <c r="AC68" s="532"/>
      <c r="AD68" s="532"/>
      <c r="AE68" s="532"/>
      <c r="AF68" s="532"/>
      <c r="AG68" s="532"/>
      <c r="AH68" s="532"/>
      <c r="AI68" s="532"/>
      <c r="AJ68" s="532"/>
      <c r="AK68" s="532"/>
      <c r="AL68" s="532"/>
    </row>
    <row r="69" spans="1:38" ht="12.75" x14ac:dyDescent="0.2">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ht="12.75" x14ac:dyDescent="0.2">
      <c r="B70" s="40"/>
      <c r="C70" s="40" t="s">
        <v>85</v>
      </c>
      <c r="D70" s="40"/>
      <c r="E70" s="53"/>
      <c r="F70" s="40"/>
      <c r="G70" s="41"/>
      <c r="H70" s="40"/>
      <c r="I70" s="53"/>
      <c r="J70" s="40"/>
      <c r="K70" s="42">
        <f>SUM(K23,K29,K38,K45,K63,K68)</f>
        <v>109.35496625</v>
      </c>
      <c r="L70" s="188"/>
      <c r="M70" s="40"/>
      <c r="N70" s="193" t="s">
        <v>85</v>
      </c>
      <c r="O70" s="193"/>
      <c r="P70" s="194"/>
      <c r="Q70" s="193"/>
      <c r="R70" s="195"/>
      <c r="S70" s="193"/>
      <c r="T70" s="194"/>
      <c r="U70" s="193"/>
      <c r="V70" s="196">
        <f>SUM(V20,V23,V29,V38,V45,V63,V50,V68)</f>
        <v>161.3454636875</v>
      </c>
      <c r="X70" s="532"/>
      <c r="Y70" s="532"/>
      <c r="Z70" s="532"/>
      <c r="AA70" s="532"/>
      <c r="AB70" s="532"/>
      <c r="AC70" s="532"/>
      <c r="AD70" s="532"/>
      <c r="AE70" s="532"/>
      <c r="AF70" s="532"/>
      <c r="AG70" s="532"/>
      <c r="AH70" s="532"/>
      <c r="AI70" s="532"/>
      <c r="AJ70" s="532"/>
      <c r="AK70" s="532"/>
      <c r="AL70" s="532"/>
    </row>
    <row r="71" spans="1:38" s="37" customFormat="1" ht="12.75" x14ac:dyDescent="0.2">
      <c r="A71" s="200"/>
      <c r="B71" s="9"/>
      <c r="C71" s="9"/>
      <c r="D71" s="9"/>
      <c r="E71" s="58"/>
      <c r="F71" s="9"/>
      <c r="G71" s="13"/>
      <c r="H71" s="9"/>
      <c r="I71" s="58"/>
      <c r="J71" s="9"/>
      <c r="K71" s="183"/>
      <c r="L71" s="190"/>
      <c r="M71" s="9"/>
      <c r="N71" s="9"/>
      <c r="O71" s="9"/>
      <c r="P71" s="58"/>
      <c r="Q71" s="9"/>
      <c r="R71" s="13"/>
      <c r="S71" s="9"/>
      <c r="T71" s="58"/>
      <c r="U71" s="9"/>
      <c r="V71" s="183"/>
      <c r="X71" s="200"/>
      <c r="Y71" s="200"/>
      <c r="Z71" s="200"/>
      <c r="AA71" s="200"/>
      <c r="AB71" s="200"/>
      <c r="AC71" s="200"/>
      <c r="AD71" s="200"/>
      <c r="AE71" s="200"/>
      <c r="AF71" s="200"/>
      <c r="AG71" s="200"/>
      <c r="AH71" s="200"/>
      <c r="AI71" s="200"/>
      <c r="AJ71" s="200"/>
      <c r="AK71" s="200"/>
      <c r="AL71" s="200"/>
    </row>
    <row r="72" spans="1:38" ht="12.75" x14ac:dyDescent="0.2">
      <c r="B72" s="9"/>
      <c r="C72" s="9"/>
      <c r="D72" s="9"/>
      <c r="E72" s="58"/>
      <c r="F72" s="9"/>
      <c r="G72" s="13"/>
      <c r="H72" s="9"/>
      <c r="I72" s="58"/>
      <c r="J72" s="9"/>
      <c r="K72" s="183"/>
      <c r="L72" s="188"/>
      <c r="M72" s="9"/>
      <c r="N72" s="50" t="s">
        <v>303</v>
      </c>
      <c r="O72" s="50"/>
      <c r="P72" s="51"/>
      <c r="Q72" s="50"/>
      <c r="R72" s="52"/>
      <c r="S72" s="50"/>
      <c r="T72" s="51"/>
      <c r="U72" s="50"/>
      <c r="V72" s="73">
        <f>V16-V70</f>
        <v>339.41453631249999</v>
      </c>
      <c r="X72" s="532"/>
      <c r="Y72" s="532"/>
      <c r="Z72" s="532"/>
      <c r="AA72" s="532"/>
      <c r="AB72" s="532"/>
      <c r="AC72" s="532"/>
      <c r="AD72" s="532"/>
      <c r="AE72" s="532"/>
      <c r="AF72" s="532"/>
      <c r="AG72" s="532"/>
      <c r="AH72" s="532"/>
      <c r="AI72" s="532"/>
      <c r="AJ72" s="532"/>
      <c r="AK72" s="532"/>
      <c r="AL72" s="532"/>
    </row>
    <row r="73" spans="1:38" ht="8.25" customHeight="1" x14ac:dyDescent="0.2">
      <c r="B73" s="9"/>
      <c r="C73" s="9"/>
      <c r="D73" s="9"/>
      <c r="E73" s="58"/>
      <c r="F73" s="9"/>
      <c r="G73" s="13"/>
      <c r="H73" s="9"/>
      <c r="I73" s="58"/>
      <c r="J73" s="9"/>
      <c r="K73" s="183"/>
      <c r="L73" s="188"/>
      <c r="M73" s="9"/>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ht="12.75" x14ac:dyDescent="0.2">
      <c r="B74" s="6"/>
      <c r="C74" s="5" t="s">
        <v>189</v>
      </c>
      <c r="D74" s="6"/>
      <c r="E74" s="34"/>
      <c r="F74" s="6"/>
      <c r="G74" s="7"/>
      <c r="H74" s="6"/>
      <c r="I74" s="34"/>
      <c r="J74" s="6"/>
      <c r="K74" s="17"/>
      <c r="L74" s="190"/>
      <c r="M74" s="6"/>
      <c r="N74" s="5" t="s">
        <v>189</v>
      </c>
      <c r="O74" s="9"/>
      <c r="P74" s="58"/>
      <c r="Q74" s="9"/>
      <c r="R74" s="13"/>
      <c r="S74" s="9"/>
      <c r="T74" s="58"/>
      <c r="U74" s="9"/>
      <c r="V74" s="183"/>
      <c r="X74" s="532"/>
      <c r="Y74" s="532"/>
      <c r="Z74" s="532"/>
      <c r="AA74" s="532"/>
      <c r="AB74" s="532"/>
      <c r="AC74" s="532"/>
      <c r="AD74" s="532"/>
      <c r="AE74" s="532"/>
      <c r="AF74" s="532"/>
      <c r="AG74" s="532"/>
      <c r="AH74" s="532"/>
      <c r="AI74" s="532"/>
      <c r="AJ74" s="532"/>
      <c r="AK74" s="532"/>
      <c r="AL74" s="532"/>
    </row>
    <row r="75" spans="1:38" ht="12.75" x14ac:dyDescent="0.2">
      <c r="B75" s="72"/>
      <c r="C75" s="684" t="s">
        <v>100</v>
      </c>
      <c r="D75" s="684"/>
      <c r="E75" s="684"/>
      <c r="F75" s="6"/>
      <c r="G75" s="16" t="s">
        <v>63</v>
      </c>
      <c r="H75" s="6"/>
      <c r="I75" s="109">
        <f>'Machinery Costs'!D228</f>
        <v>11.07</v>
      </c>
      <c r="J75" s="6"/>
      <c r="K75" s="17">
        <f>I75</f>
        <v>11.07</v>
      </c>
      <c r="M75" s="72"/>
      <c r="N75" s="686" t="s">
        <v>100</v>
      </c>
      <c r="O75" s="686"/>
      <c r="P75" s="686"/>
      <c r="Q75" s="9"/>
      <c r="R75" s="10" t="s">
        <v>63</v>
      </c>
      <c r="S75" s="9"/>
      <c r="T75" s="212">
        <f>'Machinery Costs'!D256</f>
        <v>10.876300000000001</v>
      </c>
      <c r="U75" s="9"/>
      <c r="V75" s="183">
        <f>T75</f>
        <v>10.876300000000001</v>
      </c>
      <c r="X75" s="532"/>
      <c r="Y75" s="532"/>
      <c r="Z75" s="532"/>
      <c r="AA75" s="532"/>
      <c r="AB75" s="532"/>
      <c r="AC75" s="532"/>
      <c r="AD75" s="532"/>
      <c r="AE75" s="532"/>
      <c r="AF75" s="532"/>
      <c r="AG75" s="532"/>
      <c r="AH75" s="532"/>
      <c r="AI75" s="532"/>
      <c r="AJ75" s="532"/>
      <c r="AK75" s="532"/>
      <c r="AL75" s="532"/>
    </row>
    <row r="76" spans="1:38" ht="12.75" x14ac:dyDescent="0.2">
      <c r="B76" s="71"/>
      <c r="C76" s="684" t="s">
        <v>101</v>
      </c>
      <c r="D76" s="684"/>
      <c r="E76" s="684"/>
      <c r="F76" s="6"/>
      <c r="G76" s="16" t="s">
        <v>63</v>
      </c>
      <c r="H76" s="6"/>
      <c r="I76" s="109">
        <f>'Machinery Costs'!E228</f>
        <v>8.2900000000000009</v>
      </c>
      <c r="J76" s="6"/>
      <c r="K76" s="17">
        <f>I76</f>
        <v>8.2900000000000009</v>
      </c>
      <c r="M76" s="71"/>
      <c r="N76" s="686" t="s">
        <v>101</v>
      </c>
      <c r="O76" s="686"/>
      <c r="P76" s="686"/>
      <c r="Q76" s="9"/>
      <c r="R76" s="10" t="s">
        <v>63</v>
      </c>
      <c r="S76" s="9"/>
      <c r="T76" s="212">
        <f>'Machinery Costs'!E256</f>
        <v>9.7690000000000001</v>
      </c>
      <c r="U76" s="9"/>
      <c r="V76" s="183">
        <f>T76</f>
        <v>9.7690000000000001</v>
      </c>
      <c r="X76" s="532"/>
      <c r="Y76" s="532"/>
      <c r="Z76" s="532"/>
      <c r="AA76" s="532"/>
      <c r="AB76" s="532"/>
      <c r="AC76" s="532"/>
      <c r="AD76" s="532"/>
      <c r="AE76" s="532"/>
      <c r="AF76" s="532"/>
      <c r="AG76" s="532"/>
      <c r="AH76" s="532"/>
      <c r="AI76" s="532"/>
      <c r="AJ76" s="532"/>
      <c r="AK76" s="532"/>
      <c r="AL76" s="532"/>
    </row>
    <row r="77" spans="1:38" ht="14.25" customHeight="1" x14ac:dyDescent="0.2">
      <c r="B77" s="71"/>
      <c r="C77" s="684" t="s">
        <v>3</v>
      </c>
      <c r="D77" s="684"/>
      <c r="E77" s="684"/>
      <c r="F77" s="6"/>
      <c r="G77" s="16" t="s">
        <v>63</v>
      </c>
      <c r="H77" s="6"/>
      <c r="I77" s="109">
        <f>'Machinery Costs'!F228</f>
        <v>4.3</v>
      </c>
      <c r="J77" s="6"/>
      <c r="K77" s="17">
        <f>I77</f>
        <v>4.3</v>
      </c>
      <c r="L77" s="191"/>
      <c r="M77" s="71"/>
      <c r="N77" s="686" t="s">
        <v>3</v>
      </c>
      <c r="O77" s="686"/>
      <c r="P77" s="686"/>
      <c r="Q77" s="9"/>
      <c r="R77" s="10" t="s">
        <v>63</v>
      </c>
      <c r="S77" s="9"/>
      <c r="T77" s="212">
        <f>'Machinery Costs'!F256</f>
        <v>5.9546999999999999</v>
      </c>
      <c r="U77" s="9"/>
      <c r="V77" s="183">
        <f>T77</f>
        <v>5.9546999999999999</v>
      </c>
      <c r="X77" s="532"/>
      <c r="Y77" s="532"/>
      <c r="Z77" s="532"/>
      <c r="AA77" s="532"/>
      <c r="AB77" s="532"/>
      <c r="AC77" s="532"/>
      <c r="AD77" s="532"/>
      <c r="AE77" s="532"/>
      <c r="AF77" s="532"/>
      <c r="AG77" s="532"/>
      <c r="AH77" s="532"/>
      <c r="AI77" s="532"/>
      <c r="AJ77" s="532"/>
      <c r="AK77" s="532"/>
      <c r="AL77" s="532"/>
    </row>
    <row r="78" spans="1:38" ht="14.25" customHeight="1" x14ac:dyDescent="0.2">
      <c r="B78" s="71"/>
      <c r="C78" s="34"/>
      <c r="D78" s="34"/>
      <c r="E78" s="34"/>
      <c r="F78" s="6"/>
      <c r="G78" s="7"/>
      <c r="H78" s="6"/>
      <c r="I78" s="34"/>
      <c r="J78" s="6"/>
      <c r="K78" s="17"/>
      <c r="L78" s="191"/>
      <c r="M78" s="71"/>
      <c r="N78" s="683" t="s">
        <v>546</v>
      </c>
      <c r="O78" s="679"/>
      <c r="P78" s="679"/>
      <c r="Q78" s="9"/>
      <c r="R78" s="10" t="s">
        <v>63</v>
      </c>
      <c r="S78" s="9"/>
      <c r="T78" s="593">
        <f>K90*(1+Operloan)</f>
        <v>143.83582680937502</v>
      </c>
      <c r="U78" s="9"/>
      <c r="V78" s="183">
        <f>T78</f>
        <v>143.83582680937502</v>
      </c>
      <c r="X78" s="532"/>
      <c r="Y78" s="532"/>
      <c r="Z78" s="532"/>
      <c r="AA78" s="532"/>
      <c r="AB78" s="532"/>
      <c r="AC78" s="532"/>
      <c r="AD78" s="532"/>
      <c r="AE78" s="532"/>
      <c r="AF78" s="532"/>
      <c r="AG78" s="532"/>
      <c r="AH78" s="532"/>
      <c r="AI78" s="532"/>
      <c r="AJ78" s="532"/>
      <c r="AK78" s="532"/>
      <c r="AL78" s="532"/>
    </row>
    <row r="79" spans="1:38" ht="12.75" customHeight="1" x14ac:dyDescent="0.2">
      <c r="B79" s="34"/>
      <c r="C79" s="34"/>
      <c r="D79" s="34"/>
      <c r="E79" s="34"/>
      <c r="F79" s="6"/>
      <c r="G79" s="7"/>
      <c r="H79" s="6"/>
      <c r="I79" s="34"/>
      <c r="J79" s="6"/>
      <c r="K79" s="17"/>
      <c r="L79" s="191"/>
      <c r="M79" s="34"/>
      <c r="N79" s="683" t="s">
        <v>551</v>
      </c>
      <c r="O79" s="679"/>
      <c r="P79" s="679"/>
      <c r="Q79" s="9"/>
      <c r="R79" s="10" t="s">
        <v>63</v>
      </c>
      <c r="S79" s="9"/>
      <c r="T79" s="213">
        <f>ROUND((P16*T16)*P81-(V23+K23+V29+K29+T64)*P81, 0)</f>
        <v>112</v>
      </c>
      <c r="U79" s="9"/>
      <c r="V79" s="183">
        <f>+T79</f>
        <v>112</v>
      </c>
      <c r="X79" s="532"/>
      <c r="Y79" s="532"/>
      <c r="Z79" s="532"/>
      <c r="AA79" s="532"/>
      <c r="AB79" s="532"/>
      <c r="AC79" s="532"/>
      <c r="AD79" s="532"/>
      <c r="AE79" s="532"/>
      <c r="AF79" s="532"/>
      <c r="AG79" s="532"/>
      <c r="AH79" s="532"/>
      <c r="AI79" s="532"/>
      <c r="AJ79" s="532"/>
      <c r="AK79" s="532"/>
      <c r="AL79" s="532"/>
    </row>
    <row r="80" spans="1:38" ht="12.75" customHeight="1" x14ac:dyDescent="0.2">
      <c r="B80" s="39"/>
      <c r="C80" s="684" t="s">
        <v>128</v>
      </c>
      <c r="D80" s="684"/>
      <c r="E80" s="684"/>
      <c r="F80" s="39"/>
      <c r="G80" s="16" t="s">
        <v>63</v>
      </c>
      <c r="H80" s="6"/>
      <c r="I80" s="575">
        <f>Cashrent</f>
        <v>0</v>
      </c>
      <c r="J80" s="6"/>
      <c r="K80" s="17">
        <f>Cashrent</f>
        <v>0</v>
      </c>
      <c r="M80" s="39"/>
      <c r="N80" s="56" t="s">
        <v>556</v>
      </c>
      <c r="O80" s="6"/>
      <c r="P80" s="34"/>
      <c r="Q80" s="9"/>
      <c r="R80" s="13"/>
      <c r="S80" s="9"/>
      <c r="T80" s="214"/>
      <c r="U80" s="9"/>
      <c r="V80" s="183"/>
      <c r="X80" s="532"/>
      <c r="Y80" s="532"/>
      <c r="Z80" s="532"/>
      <c r="AA80" s="532"/>
      <c r="AB80" s="532"/>
      <c r="AC80" s="532"/>
      <c r="AD80" s="532"/>
      <c r="AE80" s="532"/>
      <c r="AF80" s="532"/>
      <c r="AG80" s="532"/>
      <c r="AH80" s="532"/>
      <c r="AI80" s="532"/>
      <c r="AJ80" s="532"/>
      <c r="AK80" s="532"/>
      <c r="AL80" s="532"/>
    </row>
    <row r="81" spans="1:38" ht="14.25" x14ac:dyDescent="0.2">
      <c r="B81" s="39"/>
      <c r="C81" s="684" t="s">
        <v>15</v>
      </c>
      <c r="D81" s="684"/>
      <c r="E81" s="684"/>
      <c r="F81" s="39"/>
      <c r="G81" s="577" t="s">
        <v>63</v>
      </c>
      <c r="H81" s="6"/>
      <c r="I81" s="213">
        <f>ROUND(SUM(K23,K29,K38,K45,K63)*OH, 0)</f>
        <v>3</v>
      </c>
      <c r="J81" s="6"/>
      <c r="K81" s="17">
        <f>ROUND(SUM(K23,K29,K38,K45,K63)*OH, 0)</f>
        <v>3</v>
      </c>
      <c r="M81" s="39"/>
      <c r="N81" s="9" t="s">
        <v>96</v>
      </c>
      <c r="O81" s="9"/>
      <c r="P81" s="632">
        <v>0.33300000000000002</v>
      </c>
      <c r="Q81" s="9"/>
      <c r="R81" s="13"/>
      <c r="S81" s="9"/>
      <c r="T81" s="63"/>
      <c r="U81" s="9"/>
      <c r="V81" s="183"/>
      <c r="X81" s="532"/>
      <c r="Y81" s="532"/>
      <c r="Z81" s="532"/>
      <c r="AA81" s="532"/>
      <c r="AB81" s="532"/>
      <c r="AC81" s="532"/>
      <c r="AD81" s="532"/>
      <c r="AE81" s="532"/>
      <c r="AF81" s="532"/>
      <c r="AG81" s="532"/>
      <c r="AH81" s="532"/>
      <c r="AI81" s="532"/>
      <c r="AJ81" s="532"/>
      <c r="AK81" s="532"/>
      <c r="AL81" s="532"/>
    </row>
    <row r="82" spans="1:38" ht="12.75" customHeight="1" x14ac:dyDescent="0.2">
      <c r="B82" s="39"/>
      <c r="C82" s="39"/>
      <c r="D82" s="39"/>
      <c r="E82" s="60"/>
      <c r="F82" s="39"/>
      <c r="G82" s="60"/>
      <c r="H82" s="6"/>
      <c r="I82" s="34"/>
      <c r="J82" s="6"/>
      <c r="K82" s="17"/>
      <c r="M82" s="39"/>
      <c r="N82" s="9" t="s">
        <v>97</v>
      </c>
      <c r="O82" s="9"/>
      <c r="P82" s="632">
        <v>0.66600000000000004</v>
      </c>
      <c r="Q82" s="9"/>
      <c r="R82" s="13"/>
      <c r="S82" s="9"/>
      <c r="T82" s="63"/>
      <c r="U82" s="9"/>
      <c r="V82" s="183"/>
      <c r="X82" s="532"/>
      <c r="Y82" s="532"/>
      <c r="Z82" s="532"/>
      <c r="AA82" s="532"/>
      <c r="AB82" s="532"/>
      <c r="AC82" s="532"/>
      <c r="AD82" s="532"/>
      <c r="AE82" s="532"/>
      <c r="AF82" s="532"/>
      <c r="AG82" s="532"/>
      <c r="AH82" s="532"/>
      <c r="AI82" s="532"/>
      <c r="AJ82" s="532"/>
      <c r="AK82" s="532"/>
      <c r="AL82" s="532"/>
    </row>
    <row r="83" spans="1:38" ht="4.5" customHeight="1" x14ac:dyDescent="0.2">
      <c r="B83" s="39"/>
      <c r="C83" s="39"/>
      <c r="D83" s="39"/>
      <c r="E83" s="60"/>
      <c r="F83" s="39"/>
      <c r="G83" s="60"/>
      <c r="H83" s="6"/>
      <c r="I83" s="34"/>
      <c r="J83" s="6"/>
      <c r="K83" s="17"/>
      <c r="M83" s="39"/>
      <c r="N83" s="9"/>
      <c r="O83" s="9"/>
      <c r="P83" s="9"/>
      <c r="Q83" s="9"/>
      <c r="R83" s="13"/>
      <c r="S83" s="9"/>
      <c r="T83" s="63"/>
      <c r="U83" s="9"/>
      <c r="V83" s="183"/>
      <c r="X83" s="532"/>
      <c r="Y83" s="532"/>
      <c r="Z83" s="532"/>
      <c r="AA83" s="532"/>
      <c r="AB83" s="532"/>
      <c r="AC83" s="532"/>
      <c r="AD83" s="532"/>
      <c r="AE83" s="532"/>
      <c r="AF83" s="532"/>
      <c r="AG83" s="532"/>
      <c r="AH83" s="532"/>
      <c r="AI83" s="532"/>
      <c r="AJ83" s="532"/>
      <c r="AK83" s="532"/>
      <c r="AL83" s="532"/>
    </row>
    <row r="84" spans="1:38" ht="12.75" customHeight="1" x14ac:dyDescent="0.2">
      <c r="B84" s="39"/>
      <c r="C84" s="39"/>
      <c r="D84" s="39"/>
      <c r="E84" s="60"/>
      <c r="F84" s="39"/>
      <c r="G84" s="60"/>
      <c r="H84" s="6"/>
      <c r="I84" s="34"/>
      <c r="J84" s="6"/>
      <c r="K84" s="17"/>
      <c r="M84" s="39"/>
      <c r="N84" s="687" t="s">
        <v>34</v>
      </c>
      <c r="O84" s="686"/>
      <c r="P84" s="686">
        <v>1</v>
      </c>
      <c r="Q84" s="9"/>
      <c r="R84" s="10" t="s">
        <v>63</v>
      </c>
      <c r="S84" s="9"/>
      <c r="T84" s="575">
        <f>Cashrent</f>
        <v>0</v>
      </c>
      <c r="U84" s="9"/>
      <c r="V84" s="183">
        <f>+T84</f>
        <v>0</v>
      </c>
      <c r="X84" s="532"/>
      <c r="Y84" s="532"/>
      <c r="Z84" s="532"/>
      <c r="AA84" s="532"/>
      <c r="AB84" s="532"/>
      <c r="AC84" s="532"/>
      <c r="AD84" s="532"/>
      <c r="AE84" s="532"/>
      <c r="AF84" s="532"/>
      <c r="AG84" s="532"/>
      <c r="AH84" s="532"/>
      <c r="AI84" s="532"/>
      <c r="AJ84" s="532"/>
      <c r="AK84" s="532"/>
      <c r="AL84" s="532"/>
    </row>
    <row r="85" spans="1:38" ht="14.25" x14ac:dyDescent="0.2">
      <c r="B85" s="6"/>
      <c r="C85" s="6"/>
      <c r="D85" s="6"/>
      <c r="E85" s="34"/>
      <c r="F85" s="6"/>
      <c r="G85" s="7"/>
      <c r="H85" s="6"/>
      <c r="I85" s="34"/>
      <c r="J85" s="6"/>
      <c r="K85" s="17"/>
      <c r="M85" s="6"/>
      <c r="N85" s="686" t="s">
        <v>236</v>
      </c>
      <c r="O85" s="686"/>
      <c r="P85" s="686"/>
      <c r="Q85" s="9"/>
      <c r="R85" s="10" t="s">
        <v>63</v>
      </c>
      <c r="S85" s="9"/>
      <c r="T85" s="213">
        <f>ROUND(($V$20+$V$23+$V$29+$V$38+$V$45+$V$63+$V$50)*OH, 0)</f>
        <v>4</v>
      </c>
      <c r="U85" s="9"/>
      <c r="V85" s="183">
        <f>T85</f>
        <v>4</v>
      </c>
      <c r="X85" s="532"/>
      <c r="Y85" s="532"/>
      <c r="Z85" s="532"/>
      <c r="AA85" s="532"/>
      <c r="AB85" s="532"/>
      <c r="AC85" s="532"/>
      <c r="AD85" s="532"/>
      <c r="AE85" s="532"/>
      <c r="AF85" s="532"/>
      <c r="AG85" s="532"/>
      <c r="AH85" s="532"/>
      <c r="AI85" s="532"/>
      <c r="AJ85" s="532"/>
      <c r="AK85" s="532"/>
      <c r="AL85" s="532"/>
    </row>
    <row r="86" spans="1:38" ht="14.25" x14ac:dyDescent="0.2">
      <c r="B86" s="6"/>
      <c r="C86" s="6"/>
      <c r="D86" s="6"/>
      <c r="E86" s="34"/>
      <c r="F86" s="6"/>
      <c r="G86" s="7"/>
      <c r="H86" s="6"/>
      <c r="I86" s="34"/>
      <c r="J86" s="6"/>
      <c r="K86" s="17"/>
      <c r="M86" s="6"/>
      <c r="N86" s="686" t="s">
        <v>237</v>
      </c>
      <c r="O86" s="686"/>
      <c r="P86" s="686"/>
      <c r="Q86" s="9"/>
      <c r="R86" s="10" t="s">
        <v>63</v>
      </c>
      <c r="S86" s="9"/>
      <c r="T86" s="213">
        <f>ROUND(($V$16)*Mgmtfee, 0)</f>
        <v>25</v>
      </c>
      <c r="U86" s="9"/>
      <c r="V86" s="183">
        <f>T86</f>
        <v>25</v>
      </c>
      <c r="W86" s="88"/>
      <c r="X86" s="532"/>
      <c r="Y86" s="532"/>
      <c r="Z86" s="532"/>
      <c r="AA86" s="532"/>
      <c r="AB86" s="532"/>
      <c r="AC86" s="532"/>
      <c r="AD86" s="532"/>
      <c r="AE86" s="532"/>
      <c r="AF86" s="532"/>
      <c r="AG86" s="532"/>
      <c r="AH86" s="532"/>
      <c r="AI86" s="532"/>
      <c r="AJ86" s="532"/>
      <c r="AK86" s="532"/>
      <c r="AL86" s="532"/>
    </row>
    <row r="87" spans="1:38" ht="12.75" x14ac:dyDescent="0.2">
      <c r="B87" s="6"/>
      <c r="C87" s="6"/>
      <c r="D87" s="6"/>
      <c r="E87" s="34"/>
      <c r="F87" s="6"/>
      <c r="G87" s="7"/>
      <c r="H87" s="6"/>
      <c r="I87" s="34"/>
      <c r="J87" s="6"/>
      <c r="K87" s="17"/>
      <c r="M87" s="6"/>
      <c r="N87" s="9"/>
      <c r="O87" s="9"/>
      <c r="P87" s="58"/>
      <c r="Q87" s="9"/>
      <c r="R87" s="13"/>
      <c r="S87" s="9"/>
      <c r="T87" s="58"/>
      <c r="U87" s="9"/>
      <c r="V87" s="183"/>
      <c r="X87" s="532"/>
      <c r="Y87" s="532"/>
      <c r="Z87" s="532"/>
      <c r="AA87" s="532"/>
      <c r="AB87" s="532"/>
      <c r="AC87" s="532"/>
      <c r="AD87" s="532"/>
      <c r="AE87" s="532"/>
      <c r="AF87" s="532"/>
      <c r="AG87" s="532"/>
      <c r="AH87" s="532"/>
      <c r="AI87" s="532"/>
      <c r="AJ87" s="532"/>
      <c r="AK87" s="532"/>
      <c r="AL87" s="532"/>
    </row>
    <row r="88" spans="1:38" ht="12.75" x14ac:dyDescent="0.2">
      <c r="B88" s="40"/>
      <c r="C88" s="40" t="s">
        <v>84</v>
      </c>
      <c r="D88" s="40"/>
      <c r="E88" s="53"/>
      <c r="F88" s="40"/>
      <c r="G88" s="41"/>
      <c r="H88" s="40"/>
      <c r="I88" s="53"/>
      <c r="J88" s="40"/>
      <c r="K88" s="42">
        <f>SUM(K75:K86)</f>
        <v>26.66</v>
      </c>
      <c r="L88" s="192"/>
      <c r="M88" s="40"/>
      <c r="N88" s="193" t="s">
        <v>84</v>
      </c>
      <c r="O88" s="193"/>
      <c r="P88" s="194"/>
      <c r="Q88" s="193"/>
      <c r="R88" s="195"/>
      <c r="S88" s="193"/>
      <c r="T88" s="194"/>
      <c r="U88" s="193"/>
      <c r="V88" s="196">
        <f>SUM(V74:V86)</f>
        <v>311.43582680937504</v>
      </c>
      <c r="X88" s="532"/>
      <c r="Y88" s="532"/>
      <c r="Z88" s="532"/>
      <c r="AA88" s="532"/>
      <c r="AB88" s="532"/>
      <c r="AC88" s="532"/>
      <c r="AD88" s="532"/>
      <c r="AE88" s="532"/>
      <c r="AF88" s="532"/>
      <c r="AG88" s="532"/>
      <c r="AH88" s="532"/>
      <c r="AI88" s="532"/>
      <c r="AJ88" s="532"/>
      <c r="AK88" s="532"/>
      <c r="AL88" s="532"/>
    </row>
    <row r="89" spans="1:38" ht="12.75" x14ac:dyDescent="0.2">
      <c r="B89" s="6"/>
      <c r="C89" s="6"/>
      <c r="D89" s="6"/>
      <c r="E89" s="34"/>
      <c r="F89" s="6"/>
      <c r="G89" s="7"/>
      <c r="H89" s="6"/>
      <c r="I89" s="34"/>
      <c r="J89" s="6"/>
      <c r="K89" s="17"/>
      <c r="L89" s="122"/>
      <c r="M89" s="6"/>
      <c r="N89" s="9"/>
      <c r="O89" s="9"/>
      <c r="P89" s="58"/>
      <c r="Q89" s="9"/>
      <c r="R89" s="13"/>
      <c r="S89" s="9"/>
      <c r="T89" s="58"/>
      <c r="U89" s="9"/>
      <c r="V89" s="183"/>
      <c r="X89" s="532"/>
      <c r="Y89" s="532"/>
      <c r="Z89" s="532"/>
      <c r="AA89" s="532"/>
      <c r="AB89" s="532"/>
      <c r="AC89" s="532"/>
      <c r="AD89" s="532"/>
      <c r="AE89" s="532"/>
      <c r="AF89" s="532"/>
      <c r="AG89" s="532"/>
      <c r="AH89" s="532"/>
      <c r="AI89" s="532"/>
      <c r="AJ89" s="532"/>
      <c r="AK89" s="532"/>
      <c r="AL89" s="532"/>
    </row>
    <row r="90" spans="1:38" ht="12.75" x14ac:dyDescent="0.2">
      <c r="A90" s="89"/>
      <c r="B90" s="40"/>
      <c r="C90" s="193" t="s">
        <v>26</v>
      </c>
      <c r="D90" s="193"/>
      <c r="E90" s="194"/>
      <c r="F90" s="193"/>
      <c r="G90" s="195"/>
      <c r="H90" s="193"/>
      <c r="I90" s="194"/>
      <c r="J90" s="193"/>
      <c r="K90" s="196">
        <f>K70+K88</f>
        <v>136.01496625000001</v>
      </c>
      <c r="M90" s="40"/>
      <c r="N90" s="193" t="s">
        <v>26</v>
      </c>
      <c r="O90" s="193"/>
      <c r="P90" s="194"/>
      <c r="Q90" s="193"/>
      <c r="R90" s="195"/>
      <c r="S90" s="193"/>
      <c r="T90" s="194"/>
      <c r="U90" s="193"/>
      <c r="V90" s="196">
        <f>V70+V88</f>
        <v>472.78129049687504</v>
      </c>
      <c r="X90" s="532"/>
      <c r="Y90" s="532"/>
      <c r="Z90" s="532"/>
      <c r="AA90" s="532"/>
      <c r="AB90" s="532"/>
      <c r="AC90" s="532"/>
      <c r="AD90" s="532"/>
      <c r="AE90" s="532"/>
      <c r="AF90" s="532"/>
      <c r="AG90" s="532"/>
      <c r="AH90" s="532"/>
      <c r="AI90" s="532"/>
      <c r="AJ90" s="532"/>
      <c r="AK90" s="532"/>
      <c r="AL90" s="532"/>
    </row>
    <row r="91" spans="1:38" s="38" customFormat="1" ht="12.75" x14ac:dyDescent="0.2">
      <c r="A91" s="154"/>
      <c r="B91" s="9"/>
      <c r="C91" s="9"/>
      <c r="D91" s="9"/>
      <c r="E91" s="58"/>
      <c r="F91" s="9"/>
      <c r="G91" s="13"/>
      <c r="H91" s="9"/>
      <c r="I91" s="58"/>
      <c r="J91" s="9"/>
      <c r="K91" s="221"/>
      <c r="L91" s="121"/>
      <c r="M91" s="9"/>
      <c r="N91" s="210"/>
      <c r="O91" s="215"/>
      <c r="P91" s="216"/>
      <c r="Q91" s="215"/>
      <c r="R91" s="217"/>
      <c r="S91" s="215"/>
      <c r="T91" s="216"/>
      <c r="U91" s="215"/>
      <c r="V91" s="211"/>
      <c r="X91" s="533"/>
      <c r="Y91" s="533"/>
      <c r="Z91" s="533"/>
      <c r="AA91" s="533"/>
      <c r="AB91" s="533"/>
      <c r="AC91" s="533"/>
      <c r="AD91" s="533"/>
      <c r="AE91" s="533"/>
      <c r="AF91" s="533"/>
      <c r="AG91" s="533"/>
      <c r="AH91" s="533"/>
      <c r="AI91" s="533"/>
      <c r="AJ91" s="533"/>
      <c r="AK91" s="533"/>
      <c r="AL91" s="533"/>
    </row>
    <row r="92" spans="1:38" ht="12.75" x14ac:dyDescent="0.2">
      <c r="A92" s="200"/>
      <c r="B92" s="44"/>
      <c r="C92" s="44" t="s">
        <v>27</v>
      </c>
      <c r="D92" s="44"/>
      <c r="E92" s="62"/>
      <c r="F92" s="44"/>
      <c r="G92" s="45"/>
      <c r="H92" s="44"/>
      <c r="I92" s="62"/>
      <c r="J92" s="44"/>
      <c r="K92" s="44"/>
      <c r="M92" s="9"/>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25" x14ac:dyDescent="0.2">
      <c r="A93" s="154"/>
      <c r="B93" s="31"/>
      <c r="C93" s="680" t="s">
        <v>557</v>
      </c>
      <c r="D93" s="680"/>
      <c r="E93" s="680"/>
      <c r="F93" s="680"/>
      <c r="G93" s="680"/>
      <c r="H93" s="680"/>
      <c r="I93" s="680"/>
      <c r="J93" s="680"/>
      <c r="K93" s="680"/>
      <c r="L93" s="121"/>
      <c r="M93" s="193"/>
      <c r="N93" s="579" t="s">
        <v>442</v>
      </c>
      <c r="O93" s="579"/>
      <c r="P93" s="580"/>
      <c r="Q93" s="579"/>
      <c r="R93" s="580"/>
      <c r="S93" s="579"/>
      <c r="T93" s="580"/>
      <c r="U93" s="579"/>
      <c r="V93" s="581">
        <f>V16-V90</f>
        <v>27.978709503124946</v>
      </c>
      <c r="X93" s="200"/>
      <c r="Y93" s="200"/>
      <c r="Z93" s="200"/>
      <c r="AA93" s="200"/>
      <c r="AB93" s="200"/>
      <c r="AC93" s="200"/>
      <c r="AD93" s="200"/>
      <c r="AE93" s="200"/>
      <c r="AF93" s="200"/>
      <c r="AG93" s="200"/>
      <c r="AH93" s="200"/>
      <c r="AI93" s="200"/>
      <c r="AJ93" s="200"/>
      <c r="AK93" s="200"/>
      <c r="AL93" s="200"/>
    </row>
    <row r="94" spans="1:38" ht="28.5" customHeight="1" x14ac:dyDescent="0.2">
      <c r="C94" s="680" t="s">
        <v>553</v>
      </c>
      <c r="D94" s="680"/>
      <c r="E94" s="680"/>
      <c r="F94" s="680"/>
      <c r="G94" s="680"/>
      <c r="H94" s="680"/>
      <c r="I94" s="680"/>
      <c r="J94" s="680"/>
      <c r="K94" s="680"/>
      <c r="M94" s="193"/>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75" x14ac:dyDescent="0.2">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2" customHeight="1" x14ac:dyDescent="0.2">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25" x14ac:dyDescent="0.2">
      <c r="A97" s="154"/>
      <c r="B97" s="55"/>
      <c r="C97" s="55"/>
      <c r="D97" s="55"/>
      <c r="E97" s="55"/>
      <c r="F97" s="55"/>
      <c r="G97" s="55"/>
      <c r="H97" s="55"/>
      <c r="I97" s="55"/>
      <c r="J97" s="55"/>
      <c r="K97" s="55"/>
      <c r="L97" s="121"/>
      <c r="M97" s="55"/>
      <c r="N97" s="680" t="s">
        <v>558</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8.5" customHeight="1" x14ac:dyDescent="0.2">
      <c r="A98" s="154"/>
      <c r="L98" s="121"/>
      <c r="N98" s="680" t="s">
        <v>554</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6.5" customHeight="1" x14ac:dyDescent="0.2">
      <c r="A99" s="154"/>
      <c r="B99" s="36"/>
      <c r="C99" s="36"/>
      <c r="D99" s="36"/>
      <c r="E99" s="36"/>
      <c r="F99" s="36"/>
      <c r="G99" s="36"/>
      <c r="H99" s="36"/>
      <c r="I99" s="36"/>
      <c r="J99" s="36"/>
      <c r="K99" s="36"/>
      <c r="L99" s="121"/>
      <c r="M99" s="36"/>
      <c r="N99" s="680" t="s">
        <v>547</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5" customHeight="1" x14ac:dyDescent="0.2">
      <c r="A100" s="154"/>
      <c r="L100" s="121"/>
      <c r="N100" s="685"/>
      <c r="O100" s="682"/>
      <c r="P100" s="682"/>
      <c r="Q100" s="682"/>
      <c r="R100" s="682"/>
      <c r="S100" s="682"/>
      <c r="T100" s="682"/>
      <c r="U100" s="682"/>
      <c r="V100" s="682"/>
      <c r="X100" s="532"/>
      <c r="Y100" s="532"/>
      <c r="Z100" s="532"/>
      <c r="AA100" s="532"/>
      <c r="AB100" s="532"/>
      <c r="AC100" s="532"/>
      <c r="AD100" s="532"/>
      <c r="AE100" s="532"/>
      <c r="AF100" s="532"/>
      <c r="AG100" s="532"/>
      <c r="AH100" s="532"/>
      <c r="AI100" s="532"/>
      <c r="AJ100" s="532"/>
      <c r="AK100" s="532"/>
      <c r="AL100" s="532"/>
    </row>
    <row r="101" spans="1:38" ht="12.75" x14ac:dyDescent="0.2">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ht="12.75" x14ac:dyDescent="0.2">
      <c r="A102" s="532"/>
      <c r="N102" s="643" t="s">
        <v>563</v>
      </c>
      <c r="O102" s="636"/>
      <c r="P102" s="637" t="s">
        <v>72</v>
      </c>
      <c r="Q102" s="636"/>
      <c r="R102" s="638" t="s">
        <v>559</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75" x14ac:dyDescent="0.2">
      <c r="A103" s="532"/>
      <c r="N103" s="644" t="s">
        <v>560</v>
      </c>
      <c r="O103" s="636"/>
      <c r="P103" s="639">
        <f>V70</f>
        <v>161.3454636875</v>
      </c>
      <c r="Q103" s="636"/>
      <c r="R103" s="640">
        <f>P103/$P$16</f>
        <v>2.0685315857371793</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75" x14ac:dyDescent="0.2">
      <c r="A104" s="532"/>
      <c r="N104" s="644" t="s">
        <v>561</v>
      </c>
      <c r="O104" s="636"/>
      <c r="P104" s="639">
        <f>V88</f>
        <v>311.43582680937504</v>
      </c>
      <c r="Q104" s="636"/>
      <c r="R104" s="640">
        <f>P104/$P$16</f>
        <v>3.9927670103766033</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75" x14ac:dyDescent="0.2">
      <c r="A105" s="532"/>
      <c r="N105" s="644" t="s">
        <v>562</v>
      </c>
      <c r="O105" s="636"/>
      <c r="P105" s="639">
        <f>V90</f>
        <v>472.78129049687504</v>
      </c>
      <c r="Q105" s="636"/>
      <c r="R105" s="640">
        <f>P105/$P$16</f>
        <v>6.0612985961137822</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75" x14ac:dyDescent="0.2">
      <c r="A106" s="532"/>
      <c r="N106" s="6"/>
      <c r="O106" s="6"/>
      <c r="P106" s="34"/>
      <c r="Q106" s="6"/>
      <c r="R106" s="7"/>
      <c r="S106" s="6"/>
      <c r="T106" s="34"/>
      <c r="U106" s="6"/>
      <c r="V106" s="6"/>
      <c r="X106" s="532"/>
      <c r="Y106" s="532"/>
      <c r="Z106" s="532"/>
      <c r="AA106" s="532"/>
      <c r="AB106" s="532"/>
      <c r="AC106" s="532"/>
      <c r="AD106" s="532"/>
      <c r="AE106" s="532"/>
      <c r="AF106" s="532"/>
      <c r="AG106" s="532"/>
      <c r="AH106" s="532"/>
      <c r="AI106" s="532"/>
      <c r="AJ106" s="532"/>
      <c r="AK106" s="532"/>
      <c r="AL106" s="532"/>
    </row>
    <row r="107" spans="1:38" ht="12.75" x14ac:dyDescent="0.2">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75" x14ac:dyDescent="0.2">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75" x14ac:dyDescent="0.2">
      <c r="N109" s="6"/>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75" x14ac:dyDescent="0.2">
      <c r="N110" s="23" t="s">
        <v>50</v>
      </c>
      <c r="O110" s="6"/>
      <c r="P110" s="83">
        <f>R110*(1-P108)</f>
        <v>70.2</v>
      </c>
      <c r="Q110" s="24"/>
      <c r="R110" s="25">
        <f>P16</f>
        <v>78</v>
      </c>
      <c r="S110" s="24"/>
      <c r="T110" s="83">
        <f>R110*(1+T108)</f>
        <v>85.800000000000011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x14ac:dyDescent="0.2">
      <c r="N111" s="6"/>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75" x14ac:dyDescent="0.2">
      <c r="N112" s="6" t="s">
        <v>51</v>
      </c>
      <c r="O112" s="6"/>
      <c r="P112" s="26">
        <f>$V$70/P110</f>
        <v>2.298368428596866</v>
      </c>
      <c r="Q112" s="6"/>
      <c r="R112" s="26">
        <f>$V$70/R110</f>
        <v>2.0685315857371793</v>
      </c>
      <c r="S112" s="6"/>
      <c r="T112" s="26">
        <f>$V$70/T110</f>
        <v>1.8804832597610721</v>
      </c>
      <c r="U112" s="6"/>
      <c r="V112" s="6"/>
      <c r="X112" s="532"/>
      <c r="Y112" s="532"/>
      <c r="Z112" s="532"/>
      <c r="AA112" s="532"/>
      <c r="AB112" s="532"/>
      <c r="AC112" s="532"/>
      <c r="AD112" s="532"/>
      <c r="AE112" s="532"/>
      <c r="AF112" s="532"/>
      <c r="AG112" s="532"/>
      <c r="AH112" s="532"/>
      <c r="AI112" s="532"/>
      <c r="AJ112" s="532"/>
      <c r="AK112" s="532"/>
      <c r="AL112" s="532"/>
    </row>
    <row r="113" spans="12:38" ht="6" customHeight="1" x14ac:dyDescent="0.2">
      <c r="N113" s="6"/>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75" x14ac:dyDescent="0.2">
      <c r="N114" s="6" t="s">
        <v>52</v>
      </c>
      <c r="O114" s="6"/>
      <c r="P114" s="26">
        <f>$V$88/P110</f>
        <v>4.4364077893073368</v>
      </c>
      <c r="Q114" s="6"/>
      <c r="R114" s="26">
        <f>$V$88/R110</f>
        <v>3.9927670103766033</v>
      </c>
      <c r="S114" s="6"/>
      <c r="T114" s="26">
        <f>$V$88/T110</f>
        <v>3.6297881912514569</v>
      </c>
      <c r="U114" s="6"/>
      <c r="V114" s="6"/>
      <c r="X114" s="532"/>
      <c r="Y114" s="532"/>
      <c r="Z114" s="532"/>
      <c r="AA114" s="532"/>
      <c r="AB114" s="532"/>
      <c r="AC114" s="532"/>
      <c r="AD114" s="532"/>
      <c r="AE114" s="532"/>
      <c r="AF114" s="532"/>
      <c r="AG114" s="532"/>
      <c r="AH114" s="532"/>
      <c r="AI114" s="532"/>
      <c r="AJ114" s="532"/>
      <c r="AK114" s="532"/>
      <c r="AL114" s="532"/>
    </row>
    <row r="115" spans="12:38" ht="6" customHeight="1" x14ac:dyDescent="0.2">
      <c r="N115" s="6"/>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75" x14ac:dyDescent="0.2">
      <c r="N116" s="6" t="s">
        <v>61</v>
      </c>
      <c r="O116" s="6"/>
      <c r="P116" s="26">
        <f>$V$90/P110</f>
        <v>6.7347762179042023</v>
      </c>
      <c r="Q116" s="6"/>
      <c r="R116" s="26">
        <f>$V$90/R110</f>
        <v>6.0612985961137822</v>
      </c>
      <c r="S116" s="6"/>
      <c r="T116" s="26">
        <f>$V$90/T110</f>
        <v>5.510271451012529</v>
      </c>
      <c r="U116" s="6"/>
      <c r="V116" s="6"/>
      <c r="X116" s="532"/>
      <c r="Y116" s="532"/>
      <c r="Z116" s="532"/>
      <c r="AA116" s="532"/>
      <c r="AB116" s="532"/>
      <c r="AC116" s="532"/>
      <c r="AD116" s="532"/>
      <c r="AE116" s="532"/>
      <c r="AF116" s="532"/>
      <c r="AG116" s="532"/>
      <c r="AH116" s="532"/>
      <c r="AI116" s="532"/>
      <c r="AJ116" s="532"/>
      <c r="AK116" s="532"/>
      <c r="AL116" s="532"/>
    </row>
    <row r="117" spans="12:38" ht="12.75" x14ac:dyDescent="0.2">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75" x14ac:dyDescent="0.2">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75" x14ac:dyDescent="0.2">
      <c r="N119" s="6"/>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75" x14ac:dyDescent="0.2">
      <c r="N120" s="6"/>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75" x14ac:dyDescent="0.2">
      <c r="N121" s="23" t="s">
        <v>32</v>
      </c>
      <c r="O121" s="6"/>
      <c r="P121" s="27">
        <f>R121*(1-P119)</f>
        <v>5.7780000000000005</v>
      </c>
      <c r="Q121" s="24"/>
      <c r="R121" s="28">
        <f>T16</f>
        <v>6.42</v>
      </c>
      <c r="S121" s="24"/>
      <c r="T121" s="27">
        <f>R121*(1+T119)</f>
        <v>7.0620000000000003</v>
      </c>
      <c r="U121" s="6"/>
      <c r="V121" s="6"/>
      <c r="X121" s="532"/>
      <c r="Y121" s="532"/>
      <c r="Z121" s="532"/>
      <c r="AA121" s="532"/>
      <c r="AB121" s="532"/>
      <c r="AC121" s="532"/>
      <c r="AD121" s="532"/>
      <c r="AE121" s="532"/>
      <c r="AF121" s="532"/>
      <c r="AG121" s="532"/>
      <c r="AH121" s="532"/>
      <c r="AI121" s="532"/>
      <c r="AJ121" s="532"/>
      <c r="AK121" s="532"/>
      <c r="AL121" s="532"/>
    </row>
    <row r="122" spans="12:38" ht="6" customHeight="1" x14ac:dyDescent="0.2">
      <c r="N122" s="6"/>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75" x14ac:dyDescent="0.2">
      <c r="N123" s="6" t="s">
        <v>51</v>
      </c>
      <c r="O123" s="6"/>
      <c r="P123" s="29">
        <f>$V$70/P121</f>
        <v>27.924102403513324</v>
      </c>
      <c r="Q123" s="6"/>
      <c r="R123" s="29">
        <f>$V$70/R121</f>
        <v>25.131692163161993</v>
      </c>
      <c r="S123" s="6"/>
      <c r="T123" s="29">
        <f>$V$70/T121</f>
        <v>22.846992875601813</v>
      </c>
      <c r="U123" s="6"/>
      <c r="V123" s="6"/>
      <c r="X123" s="532"/>
      <c r="Y123" s="532"/>
      <c r="Z123" s="532"/>
      <c r="AA123" s="532"/>
      <c r="AB123" s="532"/>
      <c r="AC123" s="532"/>
      <c r="AD123" s="532"/>
      <c r="AE123" s="532"/>
      <c r="AF123" s="532"/>
      <c r="AG123" s="532"/>
      <c r="AH123" s="532"/>
      <c r="AI123" s="532"/>
      <c r="AJ123" s="532"/>
      <c r="AK123" s="532"/>
      <c r="AL123" s="532"/>
    </row>
    <row r="124" spans="12:38" ht="6" customHeight="1" x14ac:dyDescent="0.2">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75" x14ac:dyDescent="0.2">
      <c r="N125" s="6" t="s">
        <v>52</v>
      </c>
      <c r="O125" s="6"/>
      <c r="P125" s="29">
        <f>$V$88/P121</f>
        <v>53.900281552332125</v>
      </c>
      <c r="Q125" s="6"/>
      <c r="R125" s="29">
        <f>$V$88/R121</f>
        <v>48.510253397098914</v>
      </c>
      <c r="S125" s="6"/>
      <c r="T125" s="29">
        <f>$V$88/T121</f>
        <v>44.100230360999014</v>
      </c>
      <c r="U125" s="6"/>
      <c r="V125" s="6"/>
      <c r="X125" s="532"/>
      <c r="Y125" s="532"/>
      <c r="Z125" s="532"/>
      <c r="AA125" s="532"/>
      <c r="AB125" s="532"/>
      <c r="AC125" s="532"/>
      <c r="AD125" s="532"/>
      <c r="AE125" s="532"/>
      <c r="AF125" s="532"/>
      <c r="AG125" s="532"/>
      <c r="AH125" s="532"/>
      <c r="AI125" s="532"/>
      <c r="AJ125" s="532"/>
      <c r="AK125" s="532"/>
      <c r="AL125" s="532"/>
    </row>
    <row r="126" spans="12:38" ht="6" customHeight="1" x14ac:dyDescent="0.2">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 x14ac:dyDescent="0.2">
      <c r="L127" s="92"/>
      <c r="N127" s="6" t="s">
        <v>61</v>
      </c>
      <c r="O127" s="6"/>
      <c r="P127" s="29">
        <f>$V$90/P121</f>
        <v>81.824383955845448</v>
      </c>
      <c r="Q127" s="6"/>
      <c r="R127" s="29">
        <f>$V$90/R121</f>
        <v>73.641945560260908</v>
      </c>
      <c r="S127" s="6"/>
      <c r="T127" s="29">
        <f>$V$90/T121</f>
        <v>66.94722323660082</v>
      </c>
      <c r="U127" s="6"/>
      <c r="V127" s="6"/>
      <c r="X127" s="532"/>
      <c r="Y127" s="532"/>
      <c r="Z127" s="532"/>
      <c r="AA127" s="532"/>
      <c r="AB127" s="532"/>
      <c r="AC127" s="532"/>
      <c r="AD127" s="532"/>
      <c r="AE127" s="532"/>
      <c r="AF127" s="532"/>
      <c r="AG127" s="532"/>
      <c r="AH127" s="532"/>
      <c r="AI127" s="532"/>
      <c r="AJ127" s="532"/>
      <c r="AK127" s="532"/>
      <c r="AL127" s="532"/>
    </row>
    <row r="128" spans="12:38" ht="14.25" x14ac:dyDescent="0.2">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3:36" ht="12.95" customHeight="1" x14ac:dyDescent="0.2">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3:36" ht="12.95" customHeight="1" x14ac:dyDescent="0.2">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3:36" ht="12.95" customHeight="1" x14ac:dyDescent="0.2">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3:36" ht="12.95" customHeight="1" x14ac:dyDescent="0.2">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3:36" ht="12.95" customHeight="1" x14ac:dyDescent="0.2">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3:36" ht="12.95" customHeight="1" x14ac:dyDescent="0.2">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3:36" ht="12.95" customHeight="1" x14ac:dyDescent="0.2">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3:36" ht="12.95" customHeight="1" x14ac:dyDescent="0.2">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3:36" ht="12.95" customHeight="1" x14ac:dyDescent="0.2">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3:36" ht="12.95" customHeight="1" x14ac:dyDescent="0.2">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3:36" ht="12.95" customHeight="1" x14ac:dyDescent="0.2">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3:36" ht="12.95" customHeight="1" x14ac:dyDescent="0.2">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3:36" ht="12.95" customHeight="1" x14ac:dyDescent="0.2">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3:36" ht="12.95" customHeight="1" x14ac:dyDescent="0.2">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3:36" ht="12.95" customHeight="1" x14ac:dyDescent="0.2">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3:36" ht="12.95" customHeight="1" x14ac:dyDescent="0.2">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2.95" customHeight="1" x14ac:dyDescent="0.2">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2.95" customHeight="1" x14ac:dyDescent="0.2">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2.95" customHeight="1" x14ac:dyDescent="0.2">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2.95" customHeight="1" x14ac:dyDescent="0.2">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2.95" customHeight="1" x14ac:dyDescent="0.2">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2.95" customHeight="1" x14ac:dyDescent="0.2">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2.95" customHeight="1" x14ac:dyDescent="0.2">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2.95" customHeight="1" x14ac:dyDescent="0.2">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2.95" customHeight="1" x14ac:dyDescent="0.2">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2.95" customHeight="1" x14ac:dyDescent="0.2">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2.95" customHeight="1" x14ac:dyDescent="0.2">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2.95" customHeight="1" x14ac:dyDescent="0.2">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2.95" customHeight="1" x14ac:dyDescent="0.2">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2.95" customHeight="1" x14ac:dyDescent="0.2">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2.95" customHeight="1" x14ac:dyDescent="0.2">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2.95" customHeight="1" x14ac:dyDescent="0.2">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2.95" customHeight="1" x14ac:dyDescent="0.2">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2.95" customHeight="1" x14ac:dyDescent="0.2">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2.95" customHeight="1" x14ac:dyDescent="0.2">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2.95" customHeight="1" x14ac:dyDescent="0.2">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2.95" customHeight="1" x14ac:dyDescent="0.2">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2.95" customHeight="1" x14ac:dyDescent="0.2">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2.95" customHeight="1" x14ac:dyDescent="0.2">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2.95" customHeight="1" x14ac:dyDescent="0.2">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2.95" customHeight="1" x14ac:dyDescent="0.2">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2.95" customHeight="1" x14ac:dyDescent="0.2">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2.95" customHeight="1" x14ac:dyDescent="0.2">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2.95" customHeight="1" x14ac:dyDescent="0.2">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2.95" customHeight="1" x14ac:dyDescent="0.2">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2.95" customHeight="1" x14ac:dyDescent="0.2">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2.95" customHeight="1" x14ac:dyDescent="0.2">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2.95" customHeight="1" x14ac:dyDescent="0.2">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2.95" customHeight="1" x14ac:dyDescent="0.2">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2.95" customHeight="1" x14ac:dyDescent="0.2">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2.95" customHeight="1" x14ac:dyDescent="0.2">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2.95" customHeight="1" x14ac:dyDescent="0.2">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2.95" customHeight="1" x14ac:dyDescent="0.2">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2.95" customHeight="1" x14ac:dyDescent="0.2">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2.95" customHeight="1" x14ac:dyDescent="0.2">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2.95" customHeight="1" x14ac:dyDescent="0.2">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2.95" customHeight="1" x14ac:dyDescent="0.2">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2.95" customHeight="1" x14ac:dyDescent="0.2">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2.95" customHeight="1" x14ac:dyDescent="0.2">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2.95" customHeight="1" x14ac:dyDescent="0.2">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2.95" customHeight="1" x14ac:dyDescent="0.2">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2.95" customHeight="1" x14ac:dyDescent="0.2">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2.95" customHeight="1" x14ac:dyDescent="0.2">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2.95" customHeight="1" x14ac:dyDescent="0.2">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2.95" customHeight="1" x14ac:dyDescent="0.2">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2.95" customHeight="1" x14ac:dyDescent="0.2">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2.95" customHeight="1" x14ac:dyDescent="0.2">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2.95" customHeight="1" x14ac:dyDescent="0.2">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2.95" customHeight="1" x14ac:dyDescent="0.2">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2.95" customHeight="1" x14ac:dyDescent="0.2">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2.95" customHeight="1" x14ac:dyDescent="0.2">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2.95" customHeight="1" x14ac:dyDescent="0.2">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2.95" customHeight="1" x14ac:dyDescent="0.2">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2.95" customHeight="1" x14ac:dyDescent="0.2">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2.95" customHeight="1" x14ac:dyDescent="0.2">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2.95" customHeight="1" x14ac:dyDescent="0.2">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2.95" customHeight="1" x14ac:dyDescent="0.2">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2.95" customHeight="1" x14ac:dyDescent="0.2">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2.95" customHeight="1" x14ac:dyDescent="0.2">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2.95" customHeight="1" x14ac:dyDescent="0.2">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2.95" customHeight="1" x14ac:dyDescent="0.2">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2.95" customHeight="1" x14ac:dyDescent="0.2">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2.95" customHeight="1" x14ac:dyDescent="0.2">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2.95" customHeight="1" x14ac:dyDescent="0.2">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2.95" customHeight="1" x14ac:dyDescent="0.2">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2.95" customHeight="1" x14ac:dyDescent="0.2">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2.95" customHeight="1" x14ac:dyDescent="0.2">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2.95" customHeight="1" x14ac:dyDescent="0.2">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2.95" customHeight="1" x14ac:dyDescent="0.2">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2.95" customHeight="1" x14ac:dyDescent="0.2">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2.95" customHeight="1" x14ac:dyDescent="0.2">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2.95" customHeight="1" x14ac:dyDescent="0.2">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2.95" customHeight="1" x14ac:dyDescent="0.2">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2.95" customHeight="1" x14ac:dyDescent="0.2">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2.95" customHeight="1" x14ac:dyDescent="0.2">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2.95" customHeight="1" x14ac:dyDescent="0.2">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2.95" customHeight="1" x14ac:dyDescent="0.2">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2.95" customHeight="1" x14ac:dyDescent="0.2">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2.95" customHeight="1" x14ac:dyDescent="0.2">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2.95" customHeight="1" x14ac:dyDescent="0.2">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2.95" customHeight="1" x14ac:dyDescent="0.2">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2.95" customHeight="1" x14ac:dyDescent="0.2">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2.95" customHeight="1" x14ac:dyDescent="0.2">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2.95" customHeight="1" x14ac:dyDescent="0.2">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2.95" customHeight="1" x14ac:dyDescent="0.2">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2.95" customHeight="1" x14ac:dyDescent="0.2">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2.95" customHeight="1" x14ac:dyDescent="0.2">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2.95" customHeight="1" x14ac:dyDescent="0.2">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2.95" customHeight="1" x14ac:dyDescent="0.2">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2.95" customHeight="1" x14ac:dyDescent="0.2">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2.95" customHeight="1" x14ac:dyDescent="0.2">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2.95" customHeight="1" x14ac:dyDescent="0.2">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2.95" customHeight="1" x14ac:dyDescent="0.2">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2.95" customHeight="1" x14ac:dyDescent="0.2">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2.95" customHeight="1" x14ac:dyDescent="0.2">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2.95" customHeight="1" x14ac:dyDescent="0.2">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2.95" customHeight="1" x14ac:dyDescent="0.2">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2.95" customHeight="1" x14ac:dyDescent="0.2">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2.95" customHeight="1" x14ac:dyDescent="0.2">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2.95" customHeight="1" x14ac:dyDescent="0.2">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2.95" customHeight="1" x14ac:dyDescent="0.2">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2.95" customHeight="1" x14ac:dyDescent="0.2">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2.95" customHeight="1" x14ac:dyDescent="0.2">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2.95" customHeight="1" x14ac:dyDescent="0.2">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2.95" customHeight="1" x14ac:dyDescent="0.2">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2.95" customHeight="1" x14ac:dyDescent="0.2">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2.95" customHeight="1" x14ac:dyDescent="0.2">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2.95" customHeight="1" x14ac:dyDescent="0.2">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2.95" customHeight="1" x14ac:dyDescent="0.2">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2.95" customHeight="1" x14ac:dyDescent="0.2">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2.95" customHeight="1" x14ac:dyDescent="0.2">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2.95" customHeight="1" x14ac:dyDescent="0.2">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2.95" customHeight="1" x14ac:dyDescent="0.2">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2.95" customHeight="1" x14ac:dyDescent="0.2">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2.95" customHeight="1" x14ac:dyDescent="0.2">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2.95" customHeight="1" x14ac:dyDescent="0.2">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2.95" customHeight="1" x14ac:dyDescent="0.2">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2.95" customHeight="1" x14ac:dyDescent="0.2">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2.95" customHeight="1" x14ac:dyDescent="0.2">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2.95" customHeight="1" x14ac:dyDescent="0.2">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2.95" customHeight="1" x14ac:dyDescent="0.2">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2.95" customHeight="1" x14ac:dyDescent="0.2">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2.95" customHeight="1" x14ac:dyDescent="0.2">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2.95" customHeight="1" x14ac:dyDescent="0.2">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2.95" customHeight="1" x14ac:dyDescent="0.2">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2.95" customHeight="1" x14ac:dyDescent="0.2">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2.95" customHeight="1" x14ac:dyDescent="0.2">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2.95" customHeight="1" x14ac:dyDescent="0.2">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2.95" customHeight="1" x14ac:dyDescent="0.2">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2.95" customHeight="1" x14ac:dyDescent="0.2">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2.95" customHeight="1" x14ac:dyDescent="0.2">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2.95" customHeight="1" x14ac:dyDescent="0.2">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2.95" customHeight="1" x14ac:dyDescent="0.2">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2.95" customHeight="1" x14ac:dyDescent="0.2">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2.95" customHeight="1" x14ac:dyDescent="0.2">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2.95" customHeight="1" x14ac:dyDescent="0.2">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2.95" customHeight="1" x14ac:dyDescent="0.2">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2.95" customHeight="1" x14ac:dyDescent="0.2">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2.95" customHeight="1" x14ac:dyDescent="0.2">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2.95" customHeight="1" x14ac:dyDescent="0.2">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2.95" customHeight="1" x14ac:dyDescent="0.2">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2.95" customHeight="1" x14ac:dyDescent="0.2">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2.95" customHeight="1" x14ac:dyDescent="0.2">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2.95" customHeight="1" x14ac:dyDescent="0.2">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2.95" customHeight="1" x14ac:dyDescent="0.2">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2.95" customHeight="1" x14ac:dyDescent="0.2">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2.95" customHeight="1" x14ac:dyDescent="0.2">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2.95" customHeight="1" x14ac:dyDescent="0.2">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2.95" customHeight="1" x14ac:dyDescent="0.2">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2.95" customHeight="1" x14ac:dyDescent="0.2">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2.95" customHeight="1" x14ac:dyDescent="0.2">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2.95" customHeight="1" x14ac:dyDescent="0.2">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2.95" customHeight="1" x14ac:dyDescent="0.2">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2.95" customHeight="1" x14ac:dyDescent="0.2">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2.95" customHeight="1" x14ac:dyDescent="0.2">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2.95" customHeight="1" x14ac:dyDescent="0.2">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2.95" customHeight="1" x14ac:dyDescent="0.2">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2.95" customHeight="1" x14ac:dyDescent="0.2">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2.95" customHeight="1" x14ac:dyDescent="0.2">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2.95" customHeight="1" x14ac:dyDescent="0.2">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2.95" customHeight="1" x14ac:dyDescent="0.2">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2.95" customHeight="1" x14ac:dyDescent="0.2">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2.95" customHeight="1" x14ac:dyDescent="0.2">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2.95" customHeight="1" x14ac:dyDescent="0.2">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2.95" customHeight="1" x14ac:dyDescent="0.2">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2.95" customHeight="1" x14ac:dyDescent="0.2">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2.95" customHeight="1" x14ac:dyDescent="0.2">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2.95" customHeight="1" x14ac:dyDescent="0.2">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2.95" customHeight="1" x14ac:dyDescent="0.2">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2.95" customHeight="1" x14ac:dyDescent="0.2">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2.95" customHeight="1" x14ac:dyDescent="0.2">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2.95" customHeight="1" x14ac:dyDescent="0.2">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2.95" customHeight="1" x14ac:dyDescent="0.2">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2.95" customHeight="1" x14ac:dyDescent="0.2">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2.95" customHeight="1" x14ac:dyDescent="0.2">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2.95" customHeight="1" x14ac:dyDescent="0.2">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2.95" customHeight="1" x14ac:dyDescent="0.2">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2.95" customHeight="1" x14ac:dyDescent="0.2">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2.95" customHeight="1" x14ac:dyDescent="0.2">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2.95" customHeight="1" x14ac:dyDescent="0.2">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2.95" customHeight="1" x14ac:dyDescent="0.2">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2.95" customHeight="1" x14ac:dyDescent="0.2">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2.95" customHeight="1" x14ac:dyDescent="0.2">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2.95" customHeight="1" x14ac:dyDescent="0.2">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2.95" customHeight="1" x14ac:dyDescent="0.2">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2.95" customHeight="1" x14ac:dyDescent="0.2">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2.95" customHeight="1" x14ac:dyDescent="0.2">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2.95" customHeight="1" x14ac:dyDescent="0.2">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2.95" customHeight="1" x14ac:dyDescent="0.2">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2.95" customHeight="1" x14ac:dyDescent="0.2">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2.95" customHeight="1" x14ac:dyDescent="0.2">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2.95" customHeight="1" x14ac:dyDescent="0.2">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2.95" customHeight="1" x14ac:dyDescent="0.2">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2.95" customHeight="1" x14ac:dyDescent="0.2">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2.95" customHeight="1" x14ac:dyDescent="0.2">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2.95" customHeight="1" x14ac:dyDescent="0.2">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2.95" customHeight="1" x14ac:dyDescent="0.2">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2.95" customHeight="1" x14ac:dyDescent="0.2">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2.95" customHeight="1" x14ac:dyDescent="0.2">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2.95" customHeight="1" x14ac:dyDescent="0.2">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2.95" customHeight="1" x14ac:dyDescent="0.2">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2.95" customHeight="1" x14ac:dyDescent="0.2">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2.95" customHeight="1" x14ac:dyDescent="0.2">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2.95" customHeight="1" x14ac:dyDescent="0.2">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2.95" customHeight="1" x14ac:dyDescent="0.2">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2.95" customHeight="1" x14ac:dyDescent="0.2">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2.95" customHeight="1" x14ac:dyDescent="0.2">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2.95" customHeight="1" x14ac:dyDescent="0.2">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2.95" customHeight="1" x14ac:dyDescent="0.2">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2.95" customHeight="1" x14ac:dyDescent="0.2">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2.95" customHeight="1" x14ac:dyDescent="0.2">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2.95" customHeight="1" x14ac:dyDescent="0.2">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2.95" customHeight="1" x14ac:dyDescent="0.2">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2.95" customHeight="1" x14ac:dyDescent="0.2">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2.95" customHeight="1" x14ac:dyDescent="0.2">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2.95" customHeight="1" x14ac:dyDescent="0.2">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2.95" customHeight="1" x14ac:dyDescent="0.2">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2.95" customHeight="1" x14ac:dyDescent="0.2">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2.95" customHeight="1" x14ac:dyDescent="0.2">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2.95" customHeight="1" x14ac:dyDescent="0.2">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2.95" customHeight="1" x14ac:dyDescent="0.2">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2.95" customHeight="1" x14ac:dyDescent="0.2">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2.95" customHeight="1" x14ac:dyDescent="0.2">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2.95" customHeight="1" x14ac:dyDescent="0.2">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2.95" customHeight="1" x14ac:dyDescent="0.2">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2.95" customHeight="1" x14ac:dyDescent="0.2">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2.95" customHeight="1" x14ac:dyDescent="0.2">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2.95" customHeight="1" x14ac:dyDescent="0.2">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2.95" customHeight="1" x14ac:dyDescent="0.2">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2.95" customHeight="1" x14ac:dyDescent="0.2">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2.95" customHeight="1" x14ac:dyDescent="0.2">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2.95" customHeight="1" x14ac:dyDescent="0.2">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2.95" customHeight="1" x14ac:dyDescent="0.2">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2.95" customHeight="1" x14ac:dyDescent="0.2">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2.95" customHeight="1" x14ac:dyDescent="0.2">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2.95" customHeight="1" x14ac:dyDescent="0.2">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2.95" customHeight="1" x14ac:dyDescent="0.2">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2.95" customHeight="1" x14ac:dyDescent="0.2">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2.95" customHeight="1" x14ac:dyDescent="0.2">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2.95" customHeight="1" x14ac:dyDescent="0.2">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2.95" customHeight="1" x14ac:dyDescent="0.2">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2.95" customHeight="1" x14ac:dyDescent="0.2">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2.95" customHeight="1" x14ac:dyDescent="0.2">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2.95" customHeight="1" x14ac:dyDescent="0.2">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2.95" customHeight="1" x14ac:dyDescent="0.2">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2.95" customHeight="1" x14ac:dyDescent="0.2">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2.95" customHeight="1" x14ac:dyDescent="0.2">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2.95" customHeight="1" x14ac:dyDescent="0.2">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2.95" customHeight="1" x14ac:dyDescent="0.2">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2.95" customHeight="1" x14ac:dyDescent="0.2">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2.95" customHeight="1" x14ac:dyDescent="0.2">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2.95" customHeight="1" x14ac:dyDescent="0.2">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2.95" customHeight="1" x14ac:dyDescent="0.2">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2.95" customHeight="1" x14ac:dyDescent="0.2">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2.95" customHeight="1" x14ac:dyDescent="0.2">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2.95" customHeight="1" x14ac:dyDescent="0.2">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2.95" customHeight="1" x14ac:dyDescent="0.2">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2.95" customHeight="1" x14ac:dyDescent="0.2">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2.95" customHeight="1" x14ac:dyDescent="0.2">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2.95" customHeight="1" x14ac:dyDescent="0.2">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2.95" customHeight="1" x14ac:dyDescent="0.2">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2.95" customHeight="1" x14ac:dyDescent="0.2">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2.95" customHeight="1" x14ac:dyDescent="0.2">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2.95" customHeight="1" x14ac:dyDescent="0.2">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2.95" customHeight="1" x14ac:dyDescent="0.2">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2.95" customHeight="1" x14ac:dyDescent="0.2">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2.95" customHeight="1" x14ac:dyDescent="0.2">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2.95" customHeight="1" x14ac:dyDescent="0.2">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2.95" customHeight="1" x14ac:dyDescent="0.2">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2.95" customHeight="1" x14ac:dyDescent="0.2">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2.95" customHeight="1" x14ac:dyDescent="0.2">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2.95" customHeight="1" x14ac:dyDescent="0.2">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2.95" customHeight="1" x14ac:dyDescent="0.2">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2.95" customHeight="1" x14ac:dyDescent="0.2">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2.95" customHeight="1" x14ac:dyDescent="0.2">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2.95" customHeight="1" x14ac:dyDescent="0.2">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2.95" customHeight="1" x14ac:dyDescent="0.2">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2.95" customHeight="1" x14ac:dyDescent="0.2">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2.95" customHeight="1" x14ac:dyDescent="0.2">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2.95" customHeight="1" x14ac:dyDescent="0.2">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2.95" customHeight="1" x14ac:dyDescent="0.2">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2.95" customHeight="1" x14ac:dyDescent="0.2">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2.95" customHeight="1" x14ac:dyDescent="0.2">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2.95" customHeight="1" x14ac:dyDescent="0.2">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2.95" customHeight="1" x14ac:dyDescent="0.2">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2.95" customHeight="1" x14ac:dyDescent="0.2">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2.95" customHeight="1" x14ac:dyDescent="0.2">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2.95" customHeight="1" x14ac:dyDescent="0.2">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2.95" customHeight="1" x14ac:dyDescent="0.2">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2.95" customHeight="1" x14ac:dyDescent="0.2">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2.95" customHeight="1" x14ac:dyDescent="0.2">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2.95" customHeight="1" x14ac:dyDescent="0.2">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2.95" customHeight="1" x14ac:dyDescent="0.2">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2.95" customHeight="1" x14ac:dyDescent="0.2">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2.95" customHeight="1" x14ac:dyDescent="0.2">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2.95" customHeight="1" x14ac:dyDescent="0.2">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2.95" customHeight="1" x14ac:dyDescent="0.2">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2.95" customHeight="1" x14ac:dyDescent="0.2">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2.95" customHeight="1" x14ac:dyDescent="0.2">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2.95" customHeight="1" x14ac:dyDescent="0.2">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2.95" customHeight="1" x14ac:dyDescent="0.2">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2.95" customHeight="1" x14ac:dyDescent="0.2">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2.95" customHeight="1" x14ac:dyDescent="0.2">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2.95" customHeight="1" x14ac:dyDescent="0.2">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2.95" customHeight="1" x14ac:dyDescent="0.2">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2.95" customHeight="1" x14ac:dyDescent="0.2">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2.95" customHeight="1" x14ac:dyDescent="0.2">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2.95" customHeight="1" x14ac:dyDescent="0.2">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2.95" customHeight="1" x14ac:dyDescent="0.2">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2.95" customHeight="1" x14ac:dyDescent="0.2">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2.95" customHeight="1" x14ac:dyDescent="0.2">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2.95" customHeight="1" x14ac:dyDescent="0.2">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2.95" customHeight="1" x14ac:dyDescent="0.2">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2.95" customHeight="1" x14ac:dyDescent="0.2">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2.95" customHeight="1" x14ac:dyDescent="0.2">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2.95" customHeight="1" x14ac:dyDescent="0.2">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2.95" customHeight="1" x14ac:dyDescent="0.2">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2.95" customHeight="1" x14ac:dyDescent="0.2">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2.95" customHeight="1" x14ac:dyDescent="0.2">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2.95" customHeight="1" x14ac:dyDescent="0.2">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2.95" customHeight="1" x14ac:dyDescent="0.2">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2.95" customHeight="1" x14ac:dyDescent="0.2">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2.95" customHeight="1" x14ac:dyDescent="0.2">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2.95" customHeight="1" x14ac:dyDescent="0.2">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2.95" customHeight="1" x14ac:dyDescent="0.2">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2.95" customHeight="1" x14ac:dyDescent="0.2">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2.95" customHeight="1" x14ac:dyDescent="0.2">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2.95" customHeight="1" x14ac:dyDescent="0.2">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2.95" customHeight="1" x14ac:dyDescent="0.2">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2.95" customHeight="1" x14ac:dyDescent="0.2">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2.95" customHeight="1" x14ac:dyDescent="0.2">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2.95" customHeight="1" x14ac:dyDescent="0.2">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2.95" customHeight="1" x14ac:dyDescent="0.2">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2.95" customHeight="1" x14ac:dyDescent="0.2">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2.95" customHeight="1" x14ac:dyDescent="0.2">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2.95" customHeight="1" x14ac:dyDescent="0.2">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2.95" customHeight="1" x14ac:dyDescent="0.2">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2.95" customHeight="1" x14ac:dyDescent="0.2">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2.95" customHeight="1" x14ac:dyDescent="0.2">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2.95" customHeight="1" x14ac:dyDescent="0.2">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2.95" customHeight="1" x14ac:dyDescent="0.2">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2.95" customHeight="1" x14ac:dyDescent="0.2">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2.95" customHeight="1" x14ac:dyDescent="0.2">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2.95" customHeight="1" x14ac:dyDescent="0.2">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2.95" customHeight="1" x14ac:dyDescent="0.2">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2.95" customHeight="1" x14ac:dyDescent="0.2">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2.95" customHeight="1" x14ac:dyDescent="0.2">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2.95" customHeight="1" x14ac:dyDescent="0.2">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2.95" customHeight="1" x14ac:dyDescent="0.2">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2.95" customHeight="1" x14ac:dyDescent="0.2">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2.95" customHeight="1" x14ac:dyDescent="0.2">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2.95" customHeight="1" x14ac:dyDescent="0.2">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2.95" customHeight="1" x14ac:dyDescent="0.2">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2.95" customHeight="1" x14ac:dyDescent="0.2">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2.95" customHeight="1" x14ac:dyDescent="0.2">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2.95" customHeight="1" x14ac:dyDescent="0.2">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2.95" customHeight="1" x14ac:dyDescent="0.2">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2.95" customHeight="1" x14ac:dyDescent="0.2">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2.95" customHeight="1" x14ac:dyDescent="0.2">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2.95" customHeight="1" x14ac:dyDescent="0.2">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2.95" customHeight="1" x14ac:dyDescent="0.2">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2.95" customHeight="1" x14ac:dyDescent="0.2">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2.95" customHeight="1" x14ac:dyDescent="0.2">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2.95" customHeight="1" x14ac:dyDescent="0.2">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2.95" customHeight="1" x14ac:dyDescent="0.2">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2.95" customHeight="1" x14ac:dyDescent="0.2">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2.95" customHeight="1" x14ac:dyDescent="0.2">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2.95" customHeight="1" x14ac:dyDescent="0.2">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2.95" customHeight="1" x14ac:dyDescent="0.2">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2.95" customHeight="1" x14ac:dyDescent="0.2">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2.95" customHeight="1" x14ac:dyDescent="0.2">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2.95" customHeight="1" x14ac:dyDescent="0.2">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2.95" customHeight="1" x14ac:dyDescent="0.2">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2.95" customHeight="1" x14ac:dyDescent="0.2">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2.95" customHeight="1" x14ac:dyDescent="0.2">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2.95" customHeight="1" x14ac:dyDescent="0.2">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2.95" customHeight="1" x14ac:dyDescent="0.2">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2.95" customHeight="1" x14ac:dyDescent="0.2">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2.95" customHeight="1" x14ac:dyDescent="0.2">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2.95" customHeight="1" x14ac:dyDescent="0.2">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2.95" customHeight="1" x14ac:dyDescent="0.2">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2.95" customHeight="1" x14ac:dyDescent="0.2">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2.95" customHeight="1" x14ac:dyDescent="0.2">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2.95" customHeight="1" x14ac:dyDescent="0.2">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2.95" customHeight="1" x14ac:dyDescent="0.2">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2.95" customHeight="1" x14ac:dyDescent="0.2">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2.95" customHeight="1" x14ac:dyDescent="0.2">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2.95" customHeight="1" x14ac:dyDescent="0.2">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2.95" customHeight="1" x14ac:dyDescent="0.2">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2.95" customHeight="1" x14ac:dyDescent="0.2">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2.95" customHeight="1" x14ac:dyDescent="0.2">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2.95" customHeight="1" x14ac:dyDescent="0.2">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2.95" customHeight="1" x14ac:dyDescent="0.2">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2.95" customHeight="1" x14ac:dyDescent="0.2">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2.95" customHeight="1" x14ac:dyDescent="0.2">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2.95" customHeight="1" x14ac:dyDescent="0.2">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2.95" customHeight="1" x14ac:dyDescent="0.2">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2.95" customHeight="1" x14ac:dyDescent="0.2">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2.95" customHeight="1" x14ac:dyDescent="0.2">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2.95" customHeight="1" x14ac:dyDescent="0.2">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2.95" customHeight="1" x14ac:dyDescent="0.2">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2.95" customHeight="1" x14ac:dyDescent="0.2">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2.95" customHeight="1" x14ac:dyDescent="0.2">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2.95" customHeight="1" x14ac:dyDescent="0.2">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2.95" customHeight="1" x14ac:dyDescent="0.2">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2.95" customHeight="1" x14ac:dyDescent="0.2">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2.95" customHeight="1" x14ac:dyDescent="0.2">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2.95" customHeight="1" x14ac:dyDescent="0.2">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2.95" customHeight="1" x14ac:dyDescent="0.2">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2.95" customHeight="1" x14ac:dyDescent="0.2">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2.95" customHeight="1" x14ac:dyDescent="0.2">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2.95" customHeight="1" x14ac:dyDescent="0.2">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2.95" customHeight="1" x14ac:dyDescent="0.2">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2.95" customHeight="1" x14ac:dyDescent="0.2">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2.95" customHeight="1" x14ac:dyDescent="0.2">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2.95" customHeight="1" x14ac:dyDescent="0.2">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2.95" customHeight="1" x14ac:dyDescent="0.2">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2.95" customHeight="1" x14ac:dyDescent="0.2">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2.95" customHeight="1" x14ac:dyDescent="0.2">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2.95" customHeight="1" x14ac:dyDescent="0.2">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2.95" customHeight="1" x14ac:dyDescent="0.2">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2.95" customHeight="1" x14ac:dyDescent="0.2">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2.95" customHeight="1" x14ac:dyDescent="0.2">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2.95" customHeight="1" x14ac:dyDescent="0.2">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2.95" customHeight="1" x14ac:dyDescent="0.2">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2.95" customHeight="1" x14ac:dyDescent="0.2">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2.95" customHeight="1" x14ac:dyDescent="0.2">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2.95" customHeight="1" x14ac:dyDescent="0.2">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2.95" customHeight="1" x14ac:dyDescent="0.2">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2.95" customHeight="1" x14ac:dyDescent="0.2">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2.95" customHeight="1" x14ac:dyDescent="0.2">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2.95" customHeight="1" x14ac:dyDescent="0.2">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2.95" customHeight="1" x14ac:dyDescent="0.2">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2.95" customHeight="1" x14ac:dyDescent="0.2">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2.95" customHeight="1" x14ac:dyDescent="0.2">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2.95" customHeight="1" x14ac:dyDescent="0.2">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2.95" customHeight="1" x14ac:dyDescent="0.2">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2.95" customHeight="1" x14ac:dyDescent="0.2">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2.95" customHeight="1" x14ac:dyDescent="0.2">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2.95" customHeight="1" x14ac:dyDescent="0.2">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2.95" customHeight="1" x14ac:dyDescent="0.2">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2.95" customHeight="1" x14ac:dyDescent="0.2">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2.95" customHeight="1" x14ac:dyDescent="0.2">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2.95" customHeight="1" x14ac:dyDescent="0.2">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2.95" customHeight="1" x14ac:dyDescent="0.2">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2.95" customHeight="1" x14ac:dyDescent="0.2">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2.95" customHeight="1" x14ac:dyDescent="0.2">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2.95" customHeight="1" x14ac:dyDescent="0.2">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2.95" customHeight="1" x14ac:dyDescent="0.2">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2.95" customHeight="1" x14ac:dyDescent="0.2">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2.95" customHeight="1" x14ac:dyDescent="0.2">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2.95" customHeight="1" x14ac:dyDescent="0.2">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2.95" customHeight="1" x14ac:dyDescent="0.2">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2.95" customHeight="1" x14ac:dyDescent="0.2">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2.95" customHeight="1" x14ac:dyDescent="0.2">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2.95" customHeight="1" x14ac:dyDescent="0.2">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2.95" customHeight="1" x14ac:dyDescent="0.2">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2.95" customHeight="1" x14ac:dyDescent="0.2">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2.95" customHeight="1" x14ac:dyDescent="0.2">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2.95" customHeight="1" x14ac:dyDescent="0.2">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2.95" customHeight="1" x14ac:dyDescent="0.2">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2.95" customHeight="1" x14ac:dyDescent="0.2">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2.95" customHeight="1" x14ac:dyDescent="0.2">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2.95" customHeight="1" x14ac:dyDescent="0.2">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2.95" customHeight="1" x14ac:dyDescent="0.2">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2.95" customHeight="1" x14ac:dyDescent="0.2">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2.95" customHeight="1" x14ac:dyDescent="0.2">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2.95" customHeight="1" x14ac:dyDescent="0.2">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2.95" customHeight="1" x14ac:dyDescent="0.2">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2.95" customHeight="1" x14ac:dyDescent="0.2">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2.95" customHeight="1" x14ac:dyDescent="0.2">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2.95" customHeight="1" x14ac:dyDescent="0.2">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2.95" customHeight="1" x14ac:dyDescent="0.2">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2.95" customHeight="1" x14ac:dyDescent="0.2">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2.95" customHeight="1" x14ac:dyDescent="0.2">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2.95" customHeight="1" x14ac:dyDescent="0.2">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2.95" customHeight="1" x14ac:dyDescent="0.2">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2.95" customHeight="1" x14ac:dyDescent="0.2">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2.95" customHeight="1" x14ac:dyDescent="0.2">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2.95" customHeight="1" x14ac:dyDescent="0.2">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2.95" customHeight="1" x14ac:dyDescent="0.2">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2.95" customHeight="1" x14ac:dyDescent="0.2">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2.95" customHeight="1" x14ac:dyDescent="0.2">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2.95" customHeight="1" x14ac:dyDescent="0.2">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2.95" customHeight="1" x14ac:dyDescent="0.2">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2.95" customHeight="1" x14ac:dyDescent="0.2">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2.95" customHeight="1" x14ac:dyDescent="0.2">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2.95" customHeight="1" x14ac:dyDescent="0.2">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2.95" customHeight="1" x14ac:dyDescent="0.2">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2.95" customHeight="1" x14ac:dyDescent="0.2">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2.95" customHeight="1" x14ac:dyDescent="0.2">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2.95" customHeight="1" x14ac:dyDescent="0.2">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2.95" customHeight="1" x14ac:dyDescent="0.2">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2.95" customHeight="1" x14ac:dyDescent="0.2">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2.95" customHeight="1" x14ac:dyDescent="0.2">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2.95" customHeight="1" x14ac:dyDescent="0.2">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2.95" customHeight="1" x14ac:dyDescent="0.2">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2.95" customHeight="1" x14ac:dyDescent="0.2">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2.95" customHeight="1" x14ac:dyDescent="0.2">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2.95" customHeight="1" x14ac:dyDescent="0.2">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2.95" customHeight="1" x14ac:dyDescent="0.2">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2.95" customHeight="1" x14ac:dyDescent="0.2">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2.95" customHeight="1" x14ac:dyDescent="0.2">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2.95" customHeight="1" x14ac:dyDescent="0.2">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2.95" customHeight="1" x14ac:dyDescent="0.2">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2.95" customHeight="1" x14ac:dyDescent="0.2">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2.95" customHeight="1" x14ac:dyDescent="0.2">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2.95" customHeight="1" x14ac:dyDescent="0.2">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2.95" customHeight="1" x14ac:dyDescent="0.2">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2.95" customHeight="1" x14ac:dyDescent="0.2">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2.95" customHeight="1" x14ac:dyDescent="0.2">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2.95" customHeight="1" x14ac:dyDescent="0.2">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2.95" customHeight="1" x14ac:dyDescent="0.2">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2.95" customHeight="1" x14ac:dyDescent="0.2">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2.95" customHeight="1" x14ac:dyDescent="0.2">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2.95" customHeight="1" x14ac:dyDescent="0.2">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2.95" customHeight="1" x14ac:dyDescent="0.2">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2.95" customHeight="1" x14ac:dyDescent="0.2">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2.95" customHeight="1" x14ac:dyDescent="0.2">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2.95" customHeight="1" x14ac:dyDescent="0.2">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2.95" customHeight="1" x14ac:dyDescent="0.2">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2.95" customHeight="1" x14ac:dyDescent="0.2">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2.95" customHeight="1" x14ac:dyDescent="0.2">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2.95" customHeight="1" x14ac:dyDescent="0.2">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2.95" customHeight="1" x14ac:dyDescent="0.2">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2.95" customHeight="1" x14ac:dyDescent="0.2">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2.95" customHeight="1" x14ac:dyDescent="0.2">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2.95" customHeight="1" x14ac:dyDescent="0.2">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2.95" customHeight="1" x14ac:dyDescent="0.2">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2.95" customHeight="1" x14ac:dyDescent="0.2">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2.95" customHeight="1" x14ac:dyDescent="0.2">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2.95" customHeight="1" x14ac:dyDescent="0.2">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2.95" customHeight="1" x14ac:dyDescent="0.2">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2.95" customHeight="1" x14ac:dyDescent="0.2">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2.95" customHeight="1" x14ac:dyDescent="0.2">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2.95" customHeight="1" x14ac:dyDescent="0.2">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2.95" customHeight="1" x14ac:dyDescent="0.2">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2.95" customHeight="1" x14ac:dyDescent="0.2">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2.95" customHeight="1" x14ac:dyDescent="0.2">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2.95" customHeight="1" x14ac:dyDescent="0.2">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2.95" customHeight="1" x14ac:dyDescent="0.2">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2.95" customHeight="1" x14ac:dyDescent="0.2">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2.95" customHeight="1" x14ac:dyDescent="0.2">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2.95" customHeight="1" x14ac:dyDescent="0.2">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2.95" customHeight="1" x14ac:dyDescent="0.2">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2.95" customHeight="1" x14ac:dyDescent="0.2">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2.95" customHeight="1" x14ac:dyDescent="0.2">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2.95" customHeight="1" x14ac:dyDescent="0.2">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2.95" customHeight="1" x14ac:dyDescent="0.2">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2.95" customHeight="1" x14ac:dyDescent="0.2">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2.95" customHeight="1" x14ac:dyDescent="0.2">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2.95" customHeight="1" x14ac:dyDescent="0.2">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2.95" customHeight="1" x14ac:dyDescent="0.2">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2.95" customHeight="1" x14ac:dyDescent="0.2">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2.95" customHeight="1" x14ac:dyDescent="0.2">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2.95" customHeight="1" x14ac:dyDescent="0.2">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2.95" customHeight="1" x14ac:dyDescent="0.2">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2.95" customHeight="1" x14ac:dyDescent="0.2">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2.95" customHeight="1" x14ac:dyDescent="0.2">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2.95" customHeight="1" x14ac:dyDescent="0.2">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2.95" customHeight="1" x14ac:dyDescent="0.2">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2.95" customHeight="1" x14ac:dyDescent="0.2">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2.95" customHeight="1" x14ac:dyDescent="0.2">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2.95" customHeight="1" x14ac:dyDescent="0.2">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2.95" customHeight="1" x14ac:dyDescent="0.2">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2.95" customHeight="1" x14ac:dyDescent="0.2">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2.95" customHeight="1" x14ac:dyDescent="0.2">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2.95" customHeight="1" x14ac:dyDescent="0.2">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2.95" customHeight="1" x14ac:dyDescent="0.2">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2.95" customHeight="1" x14ac:dyDescent="0.2">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2.95" customHeight="1" x14ac:dyDescent="0.2">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2.95" customHeight="1" x14ac:dyDescent="0.2">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2.95" customHeight="1" x14ac:dyDescent="0.2">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2.95" customHeight="1" x14ac:dyDescent="0.2">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2.95" customHeight="1" x14ac:dyDescent="0.2">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2.95" customHeight="1" x14ac:dyDescent="0.2">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2.95" customHeight="1" x14ac:dyDescent="0.2">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2.95" customHeight="1" x14ac:dyDescent="0.2">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2.95" customHeight="1" x14ac:dyDescent="0.2">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2.95" customHeight="1" x14ac:dyDescent="0.2">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2.95" customHeight="1" x14ac:dyDescent="0.2">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2.95" customHeight="1" x14ac:dyDescent="0.2">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2.95" customHeight="1" x14ac:dyDescent="0.2">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2.95" customHeight="1" x14ac:dyDescent="0.2">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2.95" customHeight="1" x14ac:dyDescent="0.2">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2.95" customHeight="1" x14ac:dyDescent="0.2">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2.95" customHeight="1" x14ac:dyDescent="0.2">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2.95" customHeight="1" x14ac:dyDescent="0.2">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2.95" customHeight="1" x14ac:dyDescent="0.2">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2.95" customHeight="1" x14ac:dyDescent="0.2">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2.95" customHeight="1" x14ac:dyDescent="0.2">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2.95" customHeight="1" x14ac:dyDescent="0.2">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2.95" customHeight="1" x14ac:dyDescent="0.2">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2.95" customHeight="1" x14ac:dyDescent="0.2">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2.95" customHeight="1" x14ac:dyDescent="0.2">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2.95" customHeight="1" x14ac:dyDescent="0.2">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2.95" customHeight="1" x14ac:dyDescent="0.2">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2.95" customHeight="1" x14ac:dyDescent="0.2">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2.95" customHeight="1" x14ac:dyDescent="0.2">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2.95" customHeight="1" x14ac:dyDescent="0.2">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2.95" customHeight="1" x14ac:dyDescent="0.2">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2.95" customHeight="1" x14ac:dyDescent="0.2">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2.95" customHeight="1" x14ac:dyDescent="0.2">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2.95" customHeight="1" x14ac:dyDescent="0.2">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2.95" customHeight="1" x14ac:dyDescent="0.2">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2.95" customHeight="1" x14ac:dyDescent="0.2">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2.95" customHeight="1" x14ac:dyDescent="0.2">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2.95" customHeight="1" x14ac:dyDescent="0.2">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2.95" customHeight="1" x14ac:dyDescent="0.2">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2.95" customHeight="1" x14ac:dyDescent="0.2">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2.95" customHeight="1" x14ac:dyDescent="0.2">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2.95" customHeight="1" x14ac:dyDescent="0.2">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2.95" customHeight="1" x14ac:dyDescent="0.2">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2.95" customHeight="1" x14ac:dyDescent="0.2">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2.95" customHeight="1" x14ac:dyDescent="0.2">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2.95" customHeight="1" x14ac:dyDescent="0.2">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2.95" customHeight="1" x14ac:dyDescent="0.2">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2.95" customHeight="1" x14ac:dyDescent="0.2">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2.95" customHeight="1" x14ac:dyDescent="0.2">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2.95" customHeight="1" x14ac:dyDescent="0.2">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2.95" customHeight="1" x14ac:dyDescent="0.2">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2.95" customHeight="1" x14ac:dyDescent="0.2">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2.95" customHeight="1" x14ac:dyDescent="0.2">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2.95" customHeight="1" x14ac:dyDescent="0.2">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2.95" customHeight="1" x14ac:dyDescent="0.2">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2.95" customHeight="1" x14ac:dyDescent="0.2">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2.95" customHeight="1" x14ac:dyDescent="0.2">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2.95" customHeight="1" x14ac:dyDescent="0.2">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2.95" customHeight="1" x14ac:dyDescent="0.2">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2.95" customHeight="1" x14ac:dyDescent="0.2">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2.95" customHeight="1" x14ac:dyDescent="0.2">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2.95" customHeight="1" x14ac:dyDescent="0.2">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2.95" customHeight="1" x14ac:dyDescent="0.2">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2.95" customHeight="1" x14ac:dyDescent="0.2">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2.95" customHeight="1" x14ac:dyDescent="0.2">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2.95" customHeight="1" x14ac:dyDescent="0.2">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2.95" customHeight="1" x14ac:dyDescent="0.2">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2.95" customHeight="1" x14ac:dyDescent="0.2">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2.95" customHeight="1" x14ac:dyDescent="0.2">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2.95" customHeight="1" x14ac:dyDescent="0.2">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2.95" customHeight="1" x14ac:dyDescent="0.2">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2.95" customHeight="1" x14ac:dyDescent="0.2">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2.95" customHeight="1" x14ac:dyDescent="0.2">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2.95" customHeight="1" x14ac:dyDescent="0.2">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2.95" customHeight="1" x14ac:dyDescent="0.2">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2.95" customHeight="1" x14ac:dyDescent="0.2">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2.95" customHeight="1" x14ac:dyDescent="0.2">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2.95" customHeight="1" x14ac:dyDescent="0.2">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2.95" customHeight="1" x14ac:dyDescent="0.2">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2.95" customHeight="1" x14ac:dyDescent="0.2">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2.95" customHeight="1" x14ac:dyDescent="0.2">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2.95" customHeight="1" x14ac:dyDescent="0.2">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2.95" customHeight="1" x14ac:dyDescent="0.2">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2.95" customHeight="1" x14ac:dyDescent="0.2">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2.95" customHeight="1" x14ac:dyDescent="0.2">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2.95" customHeight="1" x14ac:dyDescent="0.2">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2.95" customHeight="1" x14ac:dyDescent="0.2">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2.95" customHeight="1" x14ac:dyDescent="0.2">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2.95" customHeight="1" x14ac:dyDescent="0.2">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2.95" customHeight="1" x14ac:dyDescent="0.2">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2.95" customHeight="1" x14ac:dyDescent="0.2">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2.95" customHeight="1" x14ac:dyDescent="0.2">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2.95" customHeight="1" x14ac:dyDescent="0.2">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2.95" customHeight="1" x14ac:dyDescent="0.2">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2.95" customHeight="1" x14ac:dyDescent="0.2">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2.95" customHeight="1" x14ac:dyDescent="0.2">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2.95" customHeight="1" x14ac:dyDescent="0.2">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2.95" customHeight="1" x14ac:dyDescent="0.2">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2.95" customHeight="1" x14ac:dyDescent="0.2">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2.95" customHeight="1" x14ac:dyDescent="0.2">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2.95" customHeight="1" x14ac:dyDescent="0.2">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2.95" customHeight="1" x14ac:dyDescent="0.2">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2.95" customHeight="1" x14ac:dyDescent="0.2">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2.95" customHeight="1" x14ac:dyDescent="0.2">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2.95" customHeight="1" x14ac:dyDescent="0.2">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2.95" customHeight="1" x14ac:dyDescent="0.2">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2.95" customHeight="1" x14ac:dyDescent="0.2">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2.95" customHeight="1" x14ac:dyDescent="0.2">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2.95" customHeight="1" x14ac:dyDescent="0.2">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2.95" customHeight="1" x14ac:dyDescent="0.2">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2.95" customHeight="1" x14ac:dyDescent="0.2">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2.95" customHeight="1" x14ac:dyDescent="0.2">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2.95" customHeight="1" x14ac:dyDescent="0.2">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2.95" customHeight="1" x14ac:dyDescent="0.2">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2.95" customHeight="1" x14ac:dyDescent="0.2">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2.95" customHeight="1" x14ac:dyDescent="0.2">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2.95" customHeight="1" x14ac:dyDescent="0.2">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2.95" customHeight="1" x14ac:dyDescent="0.2">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2.95" customHeight="1" x14ac:dyDescent="0.2">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2.95" customHeight="1" x14ac:dyDescent="0.2">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2.95" customHeight="1" x14ac:dyDescent="0.2">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2.95" customHeight="1" x14ac:dyDescent="0.2">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2.95" customHeight="1" x14ac:dyDescent="0.2">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2.95" customHeight="1" x14ac:dyDescent="0.2">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2.95" customHeight="1" x14ac:dyDescent="0.2">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2.95" customHeight="1" x14ac:dyDescent="0.2">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2.95" customHeight="1" x14ac:dyDescent="0.2">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2.95" customHeight="1" x14ac:dyDescent="0.2">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2.95" customHeight="1" x14ac:dyDescent="0.2">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2.95" customHeight="1" x14ac:dyDescent="0.2">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2.95" customHeight="1" x14ac:dyDescent="0.2">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2.95" customHeight="1" x14ac:dyDescent="0.2">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2.95" customHeight="1" x14ac:dyDescent="0.2">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2.95" customHeight="1" x14ac:dyDescent="0.2">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2.95" customHeight="1" x14ac:dyDescent="0.2">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2.95" customHeight="1" x14ac:dyDescent="0.2">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2.95" customHeight="1" x14ac:dyDescent="0.2">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2.95" customHeight="1" x14ac:dyDescent="0.2">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2.95" customHeight="1" x14ac:dyDescent="0.2">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2.95" customHeight="1" x14ac:dyDescent="0.2">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2.95" customHeight="1" x14ac:dyDescent="0.2">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2.95" customHeight="1" x14ac:dyDescent="0.2">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2.95" customHeight="1" x14ac:dyDescent="0.2">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2.95" customHeight="1" x14ac:dyDescent="0.2">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2.95" customHeight="1" x14ac:dyDescent="0.2">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2.95" customHeight="1" x14ac:dyDescent="0.2">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2.95" customHeight="1" x14ac:dyDescent="0.2">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2.95" customHeight="1" x14ac:dyDescent="0.2">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2.95" customHeight="1" x14ac:dyDescent="0.2">
      <c r="W867" s="532"/>
      <c r="X867" s="532"/>
      <c r="Y867" s="532"/>
      <c r="Z867" s="532"/>
      <c r="AA867" s="532"/>
      <c r="AB867" s="532"/>
      <c r="AC867" s="532"/>
      <c r="AD867" s="532"/>
      <c r="AE867" s="532"/>
      <c r="AF867" s="532"/>
      <c r="AG867" s="532"/>
      <c r="AH867" s="532"/>
      <c r="AI867" s="532"/>
      <c r="AJ867" s="532"/>
    </row>
  </sheetData>
  <customSheetViews>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s>
  <mergeCells count="23">
    <mergeCell ref="N85:P85"/>
    <mergeCell ref="N86:P86"/>
    <mergeCell ref="C77:E77"/>
    <mergeCell ref="C75:E75"/>
    <mergeCell ref="C76:E76"/>
    <mergeCell ref="C80:E80"/>
    <mergeCell ref="C81:E81"/>
    <mergeCell ref="C93:K93"/>
    <mergeCell ref="C94:K94"/>
    <mergeCell ref="C4:K4"/>
    <mergeCell ref="C6:K6"/>
    <mergeCell ref="N100:V100"/>
    <mergeCell ref="N10:W10"/>
    <mergeCell ref="N77:P77"/>
    <mergeCell ref="N75:P75"/>
    <mergeCell ref="N76:P76"/>
    <mergeCell ref="N97:V97"/>
    <mergeCell ref="N98:V98"/>
    <mergeCell ref="N99:V99"/>
    <mergeCell ref="N96:V96"/>
    <mergeCell ref="N78:P78"/>
    <mergeCell ref="N79:P79"/>
    <mergeCell ref="N84:P84"/>
  </mergeCells>
  <phoneticPr fontId="9" type="noConversion"/>
  <hyperlinks>
    <hyperlink ref="C39" location="Table10" display="Go to machinery operations" xr:uid="{00000000-0004-0000-0A00-000000000000}"/>
    <hyperlink ref="N39" location="Table11" display="Go to machinery operations" xr:uid="{00000000-0004-0000-0A00-000001000000}"/>
  </hyperlinks>
  <pageMargins left="0.7" right="0.7" top="0.75" bottom="0.75" header="0.3" footer="0.3"/>
  <pageSetup scale="84" fitToWidth="2" fitToHeight="2"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sheetPr>
  <dimension ref="A1:AL867"/>
  <sheetViews>
    <sheetView zoomScale="90" zoomScaleNormal="90" zoomScaleSheetLayoutView="100" workbookViewId="0">
      <selection activeCell="P16" sqref="P16"/>
    </sheetView>
  </sheetViews>
  <sheetFormatPr defaultColWidth="18.7109375" defaultRowHeight="12.95" customHeight="1" x14ac:dyDescent="0.2"/>
  <cols>
    <col min="1" max="1" width="3.140625" style="154" customWidth="1"/>
    <col min="2" max="2" width="0.5703125" style="31" customWidth="1"/>
    <col min="3" max="3" width="27.71093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10.7109375" style="31" bestFit="1" customWidth="1"/>
    <col min="12" max="12" width="7.140625" style="121" customWidth="1"/>
    <col min="13" max="13" width="0.5703125" customWidth="1"/>
    <col min="14" max="14" width="28.42578125" customWidth="1"/>
    <col min="15" max="15" width="2.42578125" customWidth="1"/>
    <col min="16" max="16" width="12" style="48" customWidth="1"/>
    <col min="17" max="17" width="2.42578125" customWidth="1"/>
    <col min="18" max="18" width="11" style="18" customWidth="1"/>
    <col min="19" max="19" width="2.42578125" customWidth="1"/>
    <col min="20" max="20" width="10.7109375" style="48" customWidth="1"/>
    <col min="21" max="21" width="2.42578125" customWidth="1"/>
    <col min="22" max="22" width="10.7109375" style="30" bestFit="1" customWidth="1"/>
    <col min="23" max="23" width="3.28515625" hidden="1" customWidth="1"/>
  </cols>
  <sheetData>
    <row r="1" spans="1:38" s="31" customFormat="1" ht="12" customHeight="1" x14ac:dyDescent="0.25">
      <c r="A1" s="249"/>
      <c r="C1" s="197"/>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x14ac:dyDescent="0.2">
      <c r="A7" s="198"/>
      <c r="L7" s="121"/>
      <c r="P7" s="46"/>
      <c r="R7" s="32"/>
      <c r="T7" s="46"/>
      <c r="X7" s="532"/>
      <c r="Y7" s="532"/>
      <c r="Z7" s="532"/>
      <c r="AA7" s="532"/>
      <c r="AB7" s="532"/>
      <c r="AC7" s="532"/>
      <c r="AD7" s="532"/>
      <c r="AE7" s="532"/>
      <c r="AF7" s="532"/>
      <c r="AG7" s="532"/>
      <c r="AH7" s="532"/>
      <c r="AI7" s="532"/>
      <c r="AJ7" s="532"/>
      <c r="AK7" s="532"/>
      <c r="AL7" s="532"/>
    </row>
    <row r="8" spans="1:38" s="31" customFormat="1" ht="15.75" x14ac:dyDescent="0.25">
      <c r="A8" s="249"/>
      <c r="C8" s="197" t="s">
        <v>510</v>
      </c>
      <c r="L8" s="121"/>
      <c r="M8" s="44"/>
      <c r="N8" s="197" t="s">
        <v>510</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75" x14ac:dyDescent="0.25">
      <c r="A10" s="198"/>
      <c r="B10" s="68"/>
      <c r="C10" s="182" t="s">
        <v>224</v>
      </c>
      <c r="D10" s="68"/>
      <c r="E10" s="68"/>
      <c r="F10" s="68"/>
      <c r="G10" s="68"/>
      <c r="H10" s="68"/>
      <c r="I10" s="68"/>
      <c r="J10" s="68"/>
      <c r="K10" s="68"/>
      <c r="L10" s="92"/>
      <c r="M10" s="92"/>
      <c r="N10" s="677" t="s">
        <v>190</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x14ac:dyDescent="0.2">
      <c r="A11" s="198"/>
      <c r="B11" s="84"/>
      <c r="C11" s="199"/>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ht="12.75" x14ac:dyDescent="0.2">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ht="12.75" x14ac:dyDescent="0.2">
      <c r="B16" s="6"/>
      <c r="C16" s="5"/>
      <c r="D16" s="6"/>
      <c r="E16" s="34"/>
      <c r="F16" s="6"/>
      <c r="G16" s="7"/>
      <c r="H16" s="6"/>
      <c r="I16" s="49"/>
      <c r="J16" s="6"/>
      <c r="K16" s="14"/>
      <c r="L16" s="186"/>
      <c r="M16" s="9"/>
      <c r="N16" s="180" t="s">
        <v>541</v>
      </c>
      <c r="O16" s="9"/>
      <c r="P16" s="115">
        <f>yHRWW_CR</f>
        <v>73</v>
      </c>
      <c r="Q16" s="9"/>
      <c r="R16" s="10" t="s">
        <v>91</v>
      </c>
      <c r="S16" s="9"/>
      <c r="T16" s="116">
        <f>Summary!F31</f>
        <v>7.65</v>
      </c>
      <c r="U16" s="9"/>
      <c r="V16" s="11">
        <f>P16*T16</f>
        <v>558.45000000000005</v>
      </c>
      <c r="W16" s="12"/>
      <c r="X16" s="532"/>
      <c r="Y16" s="532"/>
      <c r="Z16" s="532"/>
      <c r="AA16" s="532"/>
      <c r="AB16" s="532"/>
      <c r="AC16" s="532"/>
      <c r="AD16" s="532"/>
      <c r="AE16" s="532"/>
      <c r="AF16" s="532"/>
      <c r="AG16" s="532"/>
      <c r="AH16" s="532"/>
      <c r="AI16" s="532"/>
      <c r="AJ16" s="532"/>
      <c r="AK16" s="532"/>
      <c r="AL16" s="532"/>
    </row>
    <row r="17" spans="2:38" ht="12.75" x14ac:dyDescent="0.2">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75" x14ac:dyDescent="0.2">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75" x14ac:dyDescent="0.25">
      <c r="B20" s="7"/>
      <c r="C20" s="7"/>
      <c r="D20" s="7"/>
      <c r="E20" s="7"/>
      <c r="F20" s="7"/>
      <c r="G20" s="7"/>
      <c r="H20" s="7"/>
      <c r="I20" s="7"/>
      <c r="J20" s="7"/>
      <c r="K20" s="14"/>
      <c r="L20" s="188"/>
      <c r="M20" s="6"/>
      <c r="N20" s="40" t="s">
        <v>69</v>
      </c>
      <c r="O20" s="6"/>
      <c r="P20" s="54"/>
      <c r="Q20" s="6"/>
      <c r="R20" s="7"/>
      <c r="S20" s="6"/>
      <c r="T20" s="49"/>
      <c r="U20" s="6"/>
      <c r="V20" s="107">
        <f>SUM(V21:V21)</f>
        <v>24</v>
      </c>
      <c r="X20" s="532"/>
      <c r="Y20" s="532"/>
      <c r="Z20" s="532"/>
      <c r="AA20" s="532"/>
      <c r="AB20" s="532"/>
      <c r="AC20" s="532"/>
      <c r="AD20" s="532"/>
      <c r="AE20" s="532"/>
      <c r="AF20" s="532"/>
      <c r="AG20" s="532"/>
      <c r="AH20" s="532"/>
      <c r="AI20" s="532"/>
      <c r="AJ20" s="532"/>
      <c r="AK20" s="532"/>
      <c r="AL20" s="532"/>
    </row>
    <row r="21" spans="2:38" ht="12.75" x14ac:dyDescent="0.2">
      <c r="B21" s="7"/>
      <c r="C21" s="7"/>
      <c r="D21" s="7"/>
      <c r="E21" s="7"/>
      <c r="F21" s="7"/>
      <c r="G21" s="7"/>
      <c r="H21" s="7"/>
      <c r="I21" s="7"/>
      <c r="J21" s="7"/>
      <c r="K21" s="14"/>
      <c r="L21" s="186"/>
      <c r="M21" s="6"/>
      <c r="N21" s="15" t="s">
        <v>92</v>
      </c>
      <c r="O21" s="6"/>
      <c r="P21" s="114">
        <v>80</v>
      </c>
      <c r="Q21" s="6"/>
      <c r="R21" s="16" t="s">
        <v>62</v>
      </c>
      <c r="S21" s="6"/>
      <c r="T21" s="111">
        <f>sdHRWW</f>
        <v>0.3</v>
      </c>
      <c r="U21" s="6"/>
      <c r="V21" s="14">
        <f>P21*T21</f>
        <v>24</v>
      </c>
      <c r="X21" s="532"/>
      <c r="Y21" s="532"/>
      <c r="Z21" s="532"/>
      <c r="AA21" s="532"/>
      <c r="AB21" s="532"/>
      <c r="AC21" s="532"/>
      <c r="AD21" s="532"/>
      <c r="AE21" s="532"/>
      <c r="AF21" s="532"/>
      <c r="AG21" s="532"/>
      <c r="AH21" s="532"/>
      <c r="AI21" s="532"/>
      <c r="AJ21" s="532"/>
      <c r="AK21" s="532"/>
      <c r="AL21" s="532"/>
    </row>
    <row r="22" spans="2:38" ht="12.75" x14ac:dyDescent="0.2">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76.11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77</v>
      </c>
      <c r="F24" s="6"/>
      <c r="G24" s="16" t="s">
        <v>62</v>
      </c>
      <c r="H24" s="6"/>
      <c r="I24" s="111">
        <f>Nitrogen</f>
        <v>0.77</v>
      </c>
      <c r="J24" s="6"/>
      <c r="K24" s="17">
        <f>E24*I24</f>
        <v>59.29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17</v>
      </c>
      <c r="F25" s="6"/>
      <c r="G25" s="16" t="s">
        <v>62</v>
      </c>
      <c r="H25" s="6"/>
      <c r="I25" s="111">
        <f>Phosphorous</f>
        <v>0.66</v>
      </c>
      <c r="J25" s="6"/>
      <c r="K25" s="17">
        <f>E25*I25</f>
        <v>11.22</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x14ac:dyDescent="0.2">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24</v>
      </c>
      <c r="F30" s="6"/>
      <c r="G30" s="104" t="s">
        <v>64</v>
      </c>
      <c r="H30" s="6"/>
      <c r="I30" s="111">
        <f>Glyphosphate</f>
        <v>0.2</v>
      </c>
      <c r="J30" s="6"/>
      <c r="K30" s="17">
        <f t="shared" ref="K30:K36" si="0">E30*I30</f>
        <v>4.8000000000000007</v>
      </c>
      <c r="L30" s="189"/>
      <c r="M30" s="6"/>
      <c r="N30" s="43" t="s">
        <v>565</v>
      </c>
      <c r="O30" s="6"/>
      <c r="P30" s="112">
        <v>10</v>
      </c>
      <c r="Q30" s="6"/>
      <c r="R30" s="104" t="s">
        <v>64</v>
      </c>
      <c r="S30" s="6"/>
      <c r="T30" s="111">
        <f>axiom</f>
        <v>2.14</v>
      </c>
      <c r="U30" s="6"/>
      <c r="V30" s="17">
        <f t="shared" ref="V30:V36" si="1">P30*T30</f>
        <v>21.400000000000002</v>
      </c>
      <c r="X30" s="532"/>
      <c r="Y30" s="532"/>
      <c r="Z30" s="532"/>
      <c r="AA30" s="532"/>
      <c r="AB30" s="532"/>
      <c r="AC30" s="532"/>
      <c r="AD30" s="532"/>
      <c r="AE30" s="532"/>
      <c r="AF30" s="532"/>
      <c r="AG30" s="532"/>
      <c r="AH30" s="532"/>
      <c r="AI30" s="532"/>
      <c r="AJ30" s="532"/>
      <c r="AK30" s="532"/>
      <c r="AL30" s="532"/>
    </row>
    <row r="31" spans="2:38" ht="12.75" x14ac:dyDescent="0.2">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532"/>
      <c r="Y31" s="532"/>
      <c r="Z31" s="532"/>
      <c r="AA31" s="532"/>
      <c r="AB31" s="532"/>
      <c r="AC31" s="532"/>
      <c r="AD31" s="532"/>
      <c r="AE31" s="532"/>
      <c r="AF31" s="532"/>
      <c r="AG31" s="532"/>
      <c r="AH31" s="532"/>
      <c r="AI31" s="532"/>
      <c r="AJ31" s="532"/>
      <c r="AK31" s="532"/>
      <c r="AL31" s="532"/>
    </row>
    <row r="32" spans="2:38" ht="12.75" x14ac:dyDescent="0.2">
      <c r="B32" s="6"/>
      <c r="C32" s="43" t="s">
        <v>571</v>
      </c>
      <c r="D32" s="6"/>
      <c r="E32" s="112">
        <v>1.7</v>
      </c>
      <c r="F32" s="6"/>
      <c r="G32" s="104" t="s">
        <v>62</v>
      </c>
      <c r="H32" s="6"/>
      <c r="I32" s="111">
        <f>AmSulf</f>
        <v>0.42</v>
      </c>
      <c r="J32" s="6"/>
      <c r="K32" s="17">
        <f t="shared" si="0"/>
        <v>0.71399999999999997</v>
      </c>
      <c r="L32" s="188"/>
      <c r="M32" s="6"/>
      <c r="N32" s="43" t="s">
        <v>571</v>
      </c>
      <c r="O32" s="6"/>
      <c r="P32" s="112">
        <v>1.5</v>
      </c>
      <c r="Q32" s="6"/>
      <c r="R32" s="104" t="s">
        <v>62</v>
      </c>
      <c r="S32" s="6"/>
      <c r="T32" s="111">
        <f>AmSulf</f>
        <v>0.42</v>
      </c>
      <c r="U32" s="6"/>
      <c r="V32" s="17">
        <f t="shared" si="1"/>
        <v>0.63</v>
      </c>
      <c r="X32" s="532"/>
      <c r="Y32" s="532"/>
      <c r="Z32" s="532"/>
      <c r="AA32" s="532"/>
      <c r="AB32" s="532"/>
      <c r="AC32" s="532"/>
      <c r="AD32" s="532"/>
      <c r="AE32" s="532"/>
      <c r="AF32" s="532"/>
      <c r="AG32" s="532"/>
      <c r="AH32" s="532"/>
      <c r="AI32" s="532"/>
      <c r="AJ32" s="532"/>
      <c r="AK32" s="532"/>
      <c r="AL32" s="532"/>
    </row>
    <row r="33" spans="1:38" ht="12.75" x14ac:dyDescent="0.2">
      <c r="A33" s="532"/>
      <c r="B33" s="6"/>
      <c r="C33" s="43"/>
      <c r="D33" s="6"/>
      <c r="E33" s="112"/>
      <c r="F33" s="6"/>
      <c r="G33" s="16"/>
      <c r="H33" s="6"/>
      <c r="I33" s="111"/>
      <c r="J33" s="6"/>
      <c r="K33" s="17">
        <f t="shared" ref="K33" si="2">E33*I33</f>
        <v>0</v>
      </c>
      <c r="L33" s="188"/>
      <c r="M33" s="6"/>
      <c r="N33" s="43" t="s">
        <v>572</v>
      </c>
      <c r="O33" s="6"/>
      <c r="P33" s="112">
        <v>6.4</v>
      </c>
      <c r="Q33" s="6"/>
      <c r="R33" s="104" t="s">
        <v>64</v>
      </c>
      <c r="S33" s="6"/>
      <c r="T33" s="111">
        <f>NIS</f>
        <v>0.14000000000000001</v>
      </c>
      <c r="U33" s="6"/>
      <c r="V33" s="17">
        <f t="shared" ref="V33" si="3">P33*T33</f>
        <v>0.89600000000000013</v>
      </c>
      <c r="X33" s="532"/>
      <c r="Y33" s="532"/>
      <c r="Z33" s="532"/>
      <c r="AA33" s="532"/>
      <c r="AB33" s="532"/>
      <c r="AC33" s="532"/>
      <c r="AD33" s="532"/>
      <c r="AE33" s="532"/>
      <c r="AF33" s="532"/>
      <c r="AG33" s="532"/>
      <c r="AH33" s="532"/>
      <c r="AI33" s="532"/>
      <c r="AJ33" s="532"/>
      <c r="AK33" s="532"/>
      <c r="AL33" s="532"/>
    </row>
    <row r="34" spans="1:38" ht="12.75" x14ac:dyDescent="0.2">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532"/>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ht="12.75" x14ac:dyDescent="0.2">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x14ac:dyDescent="0.2">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ht="12.75" x14ac:dyDescent="0.2">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ht="12.75" x14ac:dyDescent="0.2">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ht="12.75" x14ac:dyDescent="0.2">
      <c r="A40" s="505"/>
      <c r="B40" s="6"/>
      <c r="C40" s="130" t="s">
        <v>102</v>
      </c>
      <c r="D40" s="6"/>
      <c r="E40" s="33">
        <v>1</v>
      </c>
      <c r="F40" s="6"/>
      <c r="G40" s="16" t="s">
        <v>63</v>
      </c>
      <c r="H40" s="6"/>
      <c r="I40" s="109">
        <f>'Machinery Costs'!K284</f>
        <v>11.549999999999999</v>
      </c>
      <c r="J40" s="6"/>
      <c r="K40" s="17">
        <f>E40*I40</f>
        <v>11.549999999999999</v>
      </c>
      <c r="L40" s="188"/>
      <c r="M40" s="6"/>
      <c r="N40" s="30" t="s">
        <v>102</v>
      </c>
      <c r="O40" s="6"/>
      <c r="P40" s="33">
        <v>1</v>
      </c>
      <c r="Q40" s="6"/>
      <c r="R40" s="16" t="s">
        <v>63</v>
      </c>
      <c r="S40" s="6"/>
      <c r="T40" s="109">
        <f>'Machinery Costs'!K312</f>
        <v>8.879999999999999</v>
      </c>
      <c r="U40" s="6"/>
      <c r="V40" s="17">
        <f>P40*T40</f>
        <v>8.879999999999999</v>
      </c>
      <c r="X40" s="532"/>
      <c r="Y40" s="532"/>
      <c r="Z40" s="532"/>
      <c r="AA40" s="532"/>
      <c r="AB40" s="532"/>
      <c r="AC40" s="532"/>
      <c r="AD40" s="532"/>
      <c r="AE40" s="532"/>
      <c r="AF40" s="532"/>
      <c r="AG40" s="532"/>
      <c r="AH40" s="532"/>
      <c r="AI40" s="532"/>
      <c r="AJ40" s="532"/>
      <c r="AK40" s="532"/>
      <c r="AL40" s="532"/>
    </row>
    <row r="41" spans="1:38" ht="12.75" x14ac:dyDescent="0.2">
      <c r="B41" s="6"/>
      <c r="C41" s="30" t="s">
        <v>103</v>
      </c>
      <c r="D41" s="6"/>
      <c r="E41" s="33">
        <v>1</v>
      </c>
      <c r="F41" s="6"/>
      <c r="G41" s="16" t="s">
        <v>63</v>
      </c>
      <c r="H41" s="6"/>
      <c r="I41" s="109">
        <f>'Machinery Costs'!I284</f>
        <v>1.7400000000000002</v>
      </c>
      <c r="J41" s="6"/>
      <c r="K41" s="17">
        <f>E41*I41</f>
        <v>1.7400000000000002</v>
      </c>
      <c r="L41" s="188"/>
      <c r="M41" s="6"/>
      <c r="N41" s="30" t="s">
        <v>103</v>
      </c>
      <c r="O41" s="6"/>
      <c r="P41" s="33">
        <v>1</v>
      </c>
      <c r="Q41" s="6"/>
      <c r="R41" s="16" t="s">
        <v>63</v>
      </c>
      <c r="S41" s="6"/>
      <c r="T41" s="109">
        <f>'Machinery Costs'!I312</f>
        <v>1.35</v>
      </c>
      <c r="U41" s="6"/>
      <c r="V41" s="17">
        <f>P41*T41</f>
        <v>1.35</v>
      </c>
      <c r="X41" s="532"/>
      <c r="Y41" s="532"/>
      <c r="Z41" s="532"/>
      <c r="AA41" s="532"/>
      <c r="AB41" s="532"/>
      <c r="AC41" s="532"/>
      <c r="AD41" s="532"/>
      <c r="AE41" s="532"/>
      <c r="AF41" s="532"/>
      <c r="AG41" s="532"/>
      <c r="AH41" s="532"/>
      <c r="AI41" s="532"/>
      <c r="AJ41" s="532"/>
      <c r="AK41" s="532"/>
      <c r="AL41" s="532"/>
    </row>
    <row r="42" spans="1:38" ht="12.75" x14ac:dyDescent="0.2">
      <c r="B42" s="6"/>
      <c r="C42" s="30" t="s">
        <v>25</v>
      </c>
      <c r="D42" s="6"/>
      <c r="E42" s="33">
        <v>1</v>
      </c>
      <c r="F42" s="6"/>
      <c r="G42" s="16" t="s">
        <v>63</v>
      </c>
      <c r="H42" s="6"/>
      <c r="I42" s="109">
        <f>'Machinery Costs'!H284</f>
        <v>4.71</v>
      </c>
      <c r="J42" s="6"/>
      <c r="K42" s="17">
        <f>E42*I42</f>
        <v>4.71</v>
      </c>
      <c r="L42" s="189"/>
      <c r="M42" s="6"/>
      <c r="N42" s="30" t="s">
        <v>25</v>
      </c>
      <c r="O42" s="6"/>
      <c r="P42" s="33">
        <v>1</v>
      </c>
      <c r="Q42" s="6"/>
      <c r="R42" s="16" t="s">
        <v>63</v>
      </c>
      <c r="S42" s="6"/>
      <c r="T42" s="109">
        <f>'Machinery Costs'!H312</f>
        <v>6.3681000000000001</v>
      </c>
      <c r="U42" s="6"/>
      <c r="V42" s="17">
        <f>P42*T42</f>
        <v>6.3681000000000001</v>
      </c>
      <c r="X42" s="532"/>
      <c r="Y42" s="532"/>
      <c r="Z42" s="532"/>
      <c r="AA42" s="532"/>
      <c r="AB42" s="532"/>
      <c r="AC42" s="532"/>
      <c r="AD42" s="532"/>
      <c r="AE42" s="532"/>
      <c r="AF42" s="532"/>
      <c r="AG42" s="532"/>
      <c r="AH42" s="532"/>
      <c r="AI42" s="532"/>
      <c r="AJ42" s="532"/>
      <c r="AK42" s="532"/>
      <c r="AL42" s="532"/>
    </row>
    <row r="43" spans="1:38" ht="12.75" x14ac:dyDescent="0.2">
      <c r="B43" s="6"/>
      <c r="C43" s="30" t="s">
        <v>54</v>
      </c>
      <c r="D43" s="6"/>
      <c r="E43" s="110">
        <f>'Machinery Costs'!L284</f>
        <v>0.48000000000000009</v>
      </c>
      <c r="F43" s="6"/>
      <c r="G43" s="104" t="s">
        <v>57</v>
      </c>
      <c r="H43" s="6"/>
      <c r="I43" s="111">
        <f>MachLabor</f>
        <v>20</v>
      </c>
      <c r="J43" s="6"/>
      <c r="K43" s="17">
        <f>E43*I43</f>
        <v>9.6000000000000014</v>
      </c>
      <c r="L43" s="188"/>
      <c r="M43" s="6"/>
      <c r="N43" s="30" t="s">
        <v>54</v>
      </c>
      <c r="O43" s="6"/>
      <c r="P43" s="110">
        <f>'Machinery Costs'!L312</f>
        <v>0.53</v>
      </c>
      <c r="Q43" s="6"/>
      <c r="R43" s="104" t="s">
        <v>57</v>
      </c>
      <c r="S43" s="6"/>
      <c r="T43" s="111">
        <f>MachLabor</f>
        <v>20</v>
      </c>
      <c r="U43" s="6"/>
      <c r="V43" s="17">
        <f>P43*T43</f>
        <v>10.600000000000001</v>
      </c>
      <c r="X43" s="532"/>
      <c r="Y43" s="532"/>
      <c r="Z43" s="532"/>
      <c r="AA43" s="532"/>
      <c r="AB43" s="532"/>
      <c r="AC43" s="532"/>
      <c r="AD43" s="532"/>
      <c r="AE43" s="532"/>
      <c r="AF43" s="532"/>
      <c r="AG43" s="532"/>
      <c r="AH43" s="532"/>
      <c r="AI43" s="532"/>
      <c r="AJ43" s="532"/>
      <c r="AK43" s="532"/>
      <c r="AL43" s="532"/>
    </row>
    <row r="44" spans="1:38" ht="7.5" customHeight="1" x14ac:dyDescent="0.2">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ht="12.75" x14ac:dyDescent="0.2">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ht="12.75" x14ac:dyDescent="0.2">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ht="12.75" x14ac:dyDescent="0.2">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ht="12.75" x14ac:dyDescent="0.2">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x14ac:dyDescent="0.2">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x14ac:dyDescent="0.2">
      <c r="B50" s="6"/>
      <c r="C50" s="40"/>
      <c r="D50" s="6"/>
      <c r="E50" s="34"/>
      <c r="F50" s="6"/>
      <c r="G50" s="7"/>
      <c r="H50" s="6"/>
      <c r="I50" s="49"/>
      <c r="J50" s="6"/>
      <c r="K50" s="106"/>
      <c r="L50" s="188"/>
      <c r="M50" s="6"/>
      <c r="N50" s="40" t="s">
        <v>234</v>
      </c>
      <c r="O50" s="6"/>
      <c r="P50" s="34"/>
      <c r="Q50" s="6"/>
      <c r="R50" s="7"/>
      <c r="S50" s="6"/>
      <c r="T50" s="49"/>
      <c r="U50" s="6"/>
      <c r="V50" s="106">
        <f>SUM(V51:V61)</f>
        <v>19.491</v>
      </c>
      <c r="X50" s="532"/>
      <c r="Y50" s="532"/>
      <c r="Z50" s="532"/>
      <c r="AA50" s="532"/>
      <c r="AB50" s="532"/>
      <c r="AC50" s="532"/>
      <c r="AD50" s="532"/>
      <c r="AE50" s="532"/>
      <c r="AF50" s="532"/>
      <c r="AG50" s="532"/>
      <c r="AH50" s="532"/>
      <c r="AI50" s="532"/>
      <c r="AJ50" s="532"/>
      <c r="AK50" s="532"/>
      <c r="AL50" s="532"/>
    </row>
    <row r="51" spans="2:38" ht="2.25" customHeight="1" x14ac:dyDescent="0.2">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ht="12.75" x14ac:dyDescent="0.2">
      <c r="B52" s="6"/>
      <c r="C52" s="40"/>
      <c r="D52" s="6"/>
      <c r="E52" s="34"/>
      <c r="F52" s="6"/>
      <c r="G52" s="7"/>
      <c r="H52" s="6"/>
      <c r="I52" s="49"/>
      <c r="J52" s="6"/>
      <c r="K52" s="106"/>
      <c r="L52" s="188"/>
      <c r="M52" s="6"/>
      <c r="N52" s="130" t="s">
        <v>231</v>
      </c>
      <c r="O52" s="6"/>
      <c r="P52" s="114">
        <v>0</v>
      </c>
      <c r="Q52" s="6"/>
      <c r="R52" s="104" t="s">
        <v>275</v>
      </c>
      <c r="S52" s="6"/>
      <c r="T52" s="248">
        <f>P54*(P55*P16)</f>
        <v>0.73</v>
      </c>
      <c r="U52" s="6"/>
      <c r="V52" s="209">
        <f>P52*T52</f>
        <v>0</v>
      </c>
      <c r="X52" s="532"/>
      <c r="Y52" s="532"/>
      <c r="Z52" s="532"/>
      <c r="AA52" s="532"/>
      <c r="AB52" s="532"/>
      <c r="AC52" s="532"/>
      <c r="AD52" s="532"/>
      <c r="AE52" s="532"/>
      <c r="AF52" s="532"/>
      <c r="AG52" s="532"/>
      <c r="AH52" s="532"/>
      <c r="AI52" s="532"/>
      <c r="AJ52" s="532"/>
      <c r="AK52" s="532"/>
      <c r="AL52" s="532"/>
    </row>
    <row r="53" spans="2:38" ht="12.75" x14ac:dyDescent="0.2">
      <c r="B53" s="6"/>
      <c r="C53" s="40"/>
      <c r="D53" s="6"/>
      <c r="E53" s="34"/>
      <c r="F53" s="6"/>
      <c r="G53" s="7"/>
      <c r="H53" s="6"/>
      <c r="I53" s="49"/>
      <c r="J53" s="6"/>
      <c r="K53" s="106"/>
      <c r="L53" s="188"/>
      <c r="M53" s="6"/>
      <c r="N53" s="56" t="s">
        <v>549</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x14ac:dyDescent="0.2">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ht="12.75" x14ac:dyDescent="0.2">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ht="12.75" x14ac:dyDescent="0.2">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ht="12.75" x14ac:dyDescent="0.2">
      <c r="B57" s="6"/>
      <c r="C57" s="40"/>
      <c r="D57" s="6"/>
      <c r="E57" s="34"/>
      <c r="F57" s="6"/>
      <c r="G57" s="7"/>
      <c r="H57" s="6"/>
      <c r="I57" s="49"/>
      <c r="J57" s="6"/>
      <c r="K57" s="106"/>
      <c r="L57" s="188"/>
      <c r="M57" s="6"/>
      <c r="N57" s="130" t="s">
        <v>548</v>
      </c>
      <c r="O57" s="6"/>
      <c r="P57" s="244">
        <f>P16</f>
        <v>73</v>
      </c>
      <c r="Q57" s="6"/>
      <c r="R57" s="104" t="s">
        <v>91</v>
      </c>
      <c r="S57" s="6"/>
      <c r="T57" s="248">
        <f>(P59*P60)/P61</f>
        <v>0.26700000000000002</v>
      </c>
      <c r="U57" s="6"/>
      <c r="V57" s="209">
        <f>P57*T57</f>
        <v>19.491</v>
      </c>
      <c r="X57" s="532"/>
      <c r="Y57" s="532"/>
      <c r="Z57" s="532"/>
      <c r="AA57" s="532"/>
      <c r="AB57" s="532"/>
      <c r="AC57" s="532"/>
      <c r="AD57" s="532"/>
      <c r="AE57" s="532"/>
      <c r="AF57" s="532"/>
      <c r="AG57" s="532"/>
      <c r="AH57" s="532"/>
      <c r="AI57" s="532"/>
      <c r="AJ57" s="532"/>
      <c r="AK57" s="532"/>
      <c r="AL57" s="532"/>
    </row>
    <row r="58" spans="2:38" ht="12" customHeight="1" x14ac:dyDescent="0.2">
      <c r="B58" s="6"/>
      <c r="C58" s="40"/>
      <c r="D58" s="6"/>
      <c r="E58" s="34"/>
      <c r="F58" s="6"/>
      <c r="G58" s="7"/>
      <c r="H58" s="6"/>
      <c r="I58" s="49"/>
      <c r="J58" s="6"/>
      <c r="K58" s="106"/>
      <c r="L58" s="188"/>
      <c r="M58" s="6"/>
      <c r="N58" s="56" t="s">
        <v>550</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x14ac:dyDescent="0.2">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x14ac:dyDescent="0.2">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x14ac:dyDescent="0.2">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ht="12.75" x14ac:dyDescent="0.2">
      <c r="B63" s="6"/>
      <c r="C63" s="40" t="s">
        <v>40</v>
      </c>
      <c r="D63" s="6"/>
      <c r="E63" s="34"/>
      <c r="F63" s="6"/>
      <c r="G63" s="7"/>
      <c r="H63" s="6"/>
      <c r="I63" s="49"/>
      <c r="J63" s="6"/>
      <c r="K63" s="106">
        <f>SUM(K64:K66)</f>
        <v>0</v>
      </c>
      <c r="L63" s="188"/>
      <c r="M63" s="6"/>
      <c r="N63" s="40" t="s">
        <v>40</v>
      </c>
      <c r="O63" s="6"/>
      <c r="P63" s="34"/>
      <c r="Q63" s="6"/>
      <c r="R63" s="7"/>
      <c r="S63" s="6"/>
      <c r="T63" s="49"/>
      <c r="U63" s="6"/>
      <c r="V63" s="106">
        <f>SUM(V64:V66)</f>
        <v>18.600000000000001</v>
      </c>
      <c r="X63" s="532"/>
      <c r="Y63" s="532"/>
      <c r="Z63" s="532"/>
      <c r="AA63" s="532"/>
      <c r="AB63" s="532"/>
      <c r="AC63" s="532"/>
      <c r="AD63" s="532"/>
      <c r="AE63" s="532"/>
      <c r="AF63" s="532"/>
      <c r="AG63" s="532"/>
      <c r="AH63" s="532"/>
      <c r="AI63" s="532"/>
      <c r="AJ63" s="532"/>
      <c r="AK63" s="532"/>
      <c r="AL63" s="532"/>
    </row>
    <row r="64" spans="2:38" ht="12.75" x14ac:dyDescent="0.2">
      <c r="B64" s="6"/>
      <c r="C64" s="15"/>
      <c r="D64" s="6"/>
      <c r="E64" s="33"/>
      <c r="F64" s="6"/>
      <c r="G64" s="16"/>
      <c r="H64" s="6"/>
      <c r="I64" s="133"/>
      <c r="J64" s="6"/>
      <c r="K64" s="17">
        <f>E64*I64</f>
        <v>0</v>
      </c>
      <c r="L64" s="188"/>
      <c r="M64" s="6"/>
      <c r="N64" s="15" t="s">
        <v>65</v>
      </c>
      <c r="O64" s="6"/>
      <c r="P64" s="33">
        <v>1</v>
      </c>
      <c r="Q64" s="6"/>
      <c r="R64" s="16" t="s">
        <v>63</v>
      </c>
      <c r="S64" s="6"/>
      <c r="T64" s="111">
        <f>ciHRWW</f>
        <v>18.600000000000001</v>
      </c>
      <c r="U64" s="6"/>
      <c r="V64" s="17">
        <f>P64*T64</f>
        <v>18.600000000000001</v>
      </c>
      <c r="X64" s="532"/>
      <c r="Y64" s="532"/>
      <c r="Z64" s="532"/>
      <c r="AA64" s="532"/>
      <c r="AB64" s="532"/>
      <c r="AC64" s="532"/>
      <c r="AD64" s="532"/>
      <c r="AE64" s="532"/>
      <c r="AF64" s="532"/>
      <c r="AG64" s="532"/>
      <c r="AH64" s="532"/>
      <c r="AI64" s="532"/>
      <c r="AJ64" s="532"/>
      <c r="AK64" s="532"/>
      <c r="AL64" s="532"/>
    </row>
    <row r="65" spans="1:38" ht="12.75" x14ac:dyDescent="0.2">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75" x14ac:dyDescent="0.2">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75" x14ac:dyDescent="0.2">
      <c r="B67" s="6"/>
      <c r="C67" s="34"/>
      <c r="D67" s="34"/>
      <c r="E67" s="34"/>
      <c r="F67" s="34"/>
      <c r="G67" s="34"/>
      <c r="H67" s="34"/>
      <c r="I67" s="34"/>
      <c r="J67" s="6"/>
      <c r="K67" s="17"/>
      <c r="L67" s="188"/>
      <c r="M67" s="6"/>
      <c r="N67" s="6"/>
      <c r="O67" s="56"/>
      <c r="P67" s="6"/>
      <c r="Q67" s="34"/>
      <c r="R67" s="6"/>
      <c r="S67" s="7"/>
      <c r="T67" s="6"/>
      <c r="U67" s="34"/>
      <c r="V67" s="17"/>
      <c r="X67" s="532"/>
      <c r="Y67" s="532"/>
      <c r="Z67" s="532"/>
      <c r="AA67" s="532"/>
      <c r="AB67" s="532"/>
      <c r="AC67" s="532"/>
      <c r="AD67" s="532"/>
      <c r="AE67" s="532"/>
      <c r="AF67" s="532"/>
      <c r="AG67" s="532"/>
      <c r="AH67" s="532"/>
      <c r="AI67" s="532"/>
      <c r="AJ67" s="532"/>
      <c r="AK67" s="532"/>
      <c r="AL67" s="532"/>
    </row>
    <row r="68" spans="1:38" ht="14.25" x14ac:dyDescent="0.2">
      <c r="B68" s="6"/>
      <c r="C68" s="56" t="s">
        <v>117</v>
      </c>
      <c r="D68" s="6"/>
      <c r="E68" s="34"/>
      <c r="F68" s="6"/>
      <c r="G68" s="7"/>
      <c r="H68" s="6"/>
      <c r="I68" s="34"/>
      <c r="J68" s="6"/>
      <c r="K68" s="17">
        <f>+(K23+K29+K38+K45+K63)*Operloan*0.75</f>
        <v>4.8103350000000002</v>
      </c>
      <c r="L68" s="188"/>
      <c r="M68" s="6"/>
      <c r="N68" s="56" t="s">
        <v>235</v>
      </c>
      <c r="O68" s="6"/>
      <c r="P68" s="34"/>
      <c r="Q68" s="6"/>
      <c r="R68" s="7"/>
      <c r="S68" s="6"/>
      <c r="T68" s="34"/>
      <c r="U68" s="6"/>
      <c r="V68" s="17">
        <f>+(V20+V23+V29+V38+V45+V50+V63)*Operloan*0.75</f>
        <v>6.7852918124999988</v>
      </c>
      <c r="X68" s="532"/>
      <c r="Y68" s="532"/>
      <c r="Z68" s="532"/>
      <c r="AA68" s="532"/>
      <c r="AB68" s="532"/>
      <c r="AC68" s="532"/>
      <c r="AD68" s="532"/>
      <c r="AE68" s="532"/>
      <c r="AF68" s="532"/>
      <c r="AG68" s="532"/>
      <c r="AH68" s="532"/>
      <c r="AI68" s="532"/>
      <c r="AJ68" s="532"/>
      <c r="AK68" s="532"/>
      <c r="AL68" s="532"/>
    </row>
    <row r="69" spans="1:38" ht="12.75" x14ac:dyDescent="0.2">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ht="12.75" x14ac:dyDescent="0.2">
      <c r="B70" s="40"/>
      <c r="C70" s="40" t="s">
        <v>85</v>
      </c>
      <c r="D70" s="40"/>
      <c r="E70" s="53"/>
      <c r="F70" s="40"/>
      <c r="G70" s="41"/>
      <c r="H70" s="40"/>
      <c r="I70" s="53"/>
      <c r="J70" s="40"/>
      <c r="K70" s="42">
        <f>SUM(K23,K29,K38,K45,K63,K68)</f>
        <v>116.35433500000001</v>
      </c>
      <c r="L70" s="188"/>
      <c r="M70" s="40"/>
      <c r="N70" s="40" t="s">
        <v>85</v>
      </c>
      <c r="O70" s="40"/>
      <c r="P70" s="53"/>
      <c r="Q70" s="40"/>
      <c r="R70" s="41"/>
      <c r="S70" s="40"/>
      <c r="T70" s="53"/>
      <c r="U70" s="40"/>
      <c r="V70" s="42">
        <f>SUM(V20,V23,V29,V38,V45,V50,V63,V68)</f>
        <v>164.12539181249997</v>
      </c>
      <c r="X70" s="532"/>
      <c r="Y70" s="532"/>
      <c r="Z70" s="532"/>
      <c r="AA70" s="532"/>
      <c r="AB70" s="532"/>
      <c r="AC70" s="532"/>
      <c r="AD70" s="532"/>
      <c r="AE70" s="532"/>
      <c r="AF70" s="532"/>
      <c r="AG70" s="532"/>
      <c r="AH70" s="532"/>
      <c r="AI70" s="532"/>
      <c r="AJ70" s="532"/>
      <c r="AK70" s="532"/>
      <c r="AL70" s="532"/>
    </row>
    <row r="71" spans="1:38" s="37" customFormat="1" ht="12.75" x14ac:dyDescent="0.2">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ht="12.75" x14ac:dyDescent="0.2">
      <c r="B72" s="9"/>
      <c r="C72" s="9"/>
      <c r="D72" s="9"/>
      <c r="E72" s="58"/>
      <c r="F72" s="9"/>
      <c r="G72" s="13"/>
      <c r="H72" s="9"/>
      <c r="I72" s="58"/>
      <c r="J72" s="9"/>
      <c r="K72" s="183"/>
      <c r="L72" s="188"/>
      <c r="M72" s="193"/>
      <c r="N72" s="50" t="s">
        <v>303</v>
      </c>
      <c r="O72" s="50"/>
      <c r="P72" s="51"/>
      <c r="Q72" s="50"/>
      <c r="R72" s="52"/>
      <c r="S72" s="50"/>
      <c r="T72" s="51"/>
      <c r="U72" s="50"/>
      <c r="V72" s="73">
        <f>V16-(V70)</f>
        <v>394.32460818750008</v>
      </c>
      <c r="X72" s="532"/>
      <c r="Y72" s="532"/>
      <c r="Z72" s="532"/>
      <c r="AA72" s="532"/>
      <c r="AB72" s="532"/>
      <c r="AC72" s="532"/>
      <c r="AD72" s="532"/>
      <c r="AE72" s="532"/>
      <c r="AF72" s="532"/>
      <c r="AG72" s="532"/>
      <c r="AH72" s="532"/>
      <c r="AI72" s="532"/>
      <c r="AJ72" s="532"/>
      <c r="AK72" s="532"/>
      <c r="AL72" s="532"/>
    </row>
    <row r="73" spans="1:38" ht="12.75" x14ac:dyDescent="0.2">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ht="12.75" x14ac:dyDescent="0.2">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ht="12.75" x14ac:dyDescent="0.2">
      <c r="B75" s="6"/>
      <c r="C75" s="684" t="s">
        <v>100</v>
      </c>
      <c r="D75" s="684"/>
      <c r="E75" s="684"/>
      <c r="F75" s="6"/>
      <c r="G75" s="104" t="s">
        <v>63</v>
      </c>
      <c r="H75" s="6"/>
      <c r="I75" s="109">
        <f>'Machinery Costs'!D284</f>
        <v>11.07</v>
      </c>
      <c r="J75" s="6"/>
      <c r="K75" s="17">
        <f>I75</f>
        <v>11.07</v>
      </c>
      <c r="M75" s="6"/>
      <c r="N75" s="679" t="s">
        <v>100</v>
      </c>
      <c r="O75" s="679"/>
      <c r="P75" s="679"/>
      <c r="Q75" s="6"/>
      <c r="R75" s="16" t="s">
        <v>63</v>
      </c>
      <c r="S75" s="6"/>
      <c r="T75" s="109">
        <f>'Machinery Costs'!D312</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ht="12.75" x14ac:dyDescent="0.2">
      <c r="B76" s="6"/>
      <c r="C76" s="684" t="s">
        <v>101</v>
      </c>
      <c r="D76" s="684"/>
      <c r="E76" s="684"/>
      <c r="F76" s="6"/>
      <c r="G76" s="104" t="s">
        <v>63</v>
      </c>
      <c r="H76" s="6"/>
      <c r="I76" s="109">
        <f>'Machinery Costs'!E284</f>
        <v>8.2900000000000009</v>
      </c>
      <c r="J76" s="6"/>
      <c r="K76" s="17">
        <f>I76</f>
        <v>8.2900000000000009</v>
      </c>
      <c r="M76" s="6"/>
      <c r="N76" s="679" t="s">
        <v>101</v>
      </c>
      <c r="O76" s="679"/>
      <c r="P76" s="679"/>
      <c r="Q76" s="6"/>
      <c r="R76" s="16" t="s">
        <v>63</v>
      </c>
      <c r="S76" s="6"/>
      <c r="T76" s="109">
        <f>'Machinery Costs'!E312</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x14ac:dyDescent="0.2">
      <c r="B77" s="6"/>
      <c r="C77" s="684" t="s">
        <v>3</v>
      </c>
      <c r="D77" s="684"/>
      <c r="E77" s="684"/>
      <c r="F77" s="6"/>
      <c r="G77" s="104" t="s">
        <v>63</v>
      </c>
      <c r="H77" s="6"/>
      <c r="I77" s="109">
        <f>'Machinery Costs'!F284</f>
        <v>4.3</v>
      </c>
      <c r="J77" s="6"/>
      <c r="K77" s="17">
        <f>I77</f>
        <v>4.3</v>
      </c>
      <c r="L77" s="191"/>
      <c r="M77" s="6"/>
      <c r="N77" s="679" t="s">
        <v>3</v>
      </c>
      <c r="O77" s="679"/>
      <c r="P77" s="679"/>
      <c r="Q77" s="6"/>
      <c r="R77" s="16" t="s">
        <v>63</v>
      </c>
      <c r="S77" s="6"/>
      <c r="T77" s="109">
        <f>'Machinery Costs'!F312</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x14ac:dyDescent="0.2">
      <c r="B78" s="71"/>
      <c r="C78" s="34"/>
      <c r="D78" s="34"/>
      <c r="E78" s="34"/>
      <c r="F78" s="6"/>
      <c r="G78" s="7"/>
      <c r="H78" s="6"/>
      <c r="I78" s="34"/>
      <c r="J78" s="6"/>
      <c r="K78" s="17"/>
      <c r="L78" s="191"/>
      <c r="M78" s="71"/>
      <c r="N78" s="683" t="s">
        <v>546</v>
      </c>
      <c r="O78" s="679"/>
      <c r="P78" s="679"/>
      <c r="Q78" s="9"/>
      <c r="R78" s="16" t="s">
        <v>63</v>
      </c>
      <c r="S78" s="9"/>
      <c r="T78" s="593">
        <f>K90*(1+Operloan)</f>
        <v>151.23765926250005</v>
      </c>
      <c r="U78" s="9"/>
      <c r="V78" s="183">
        <f>T78</f>
        <v>151.23765926250005</v>
      </c>
      <c r="X78" s="532"/>
      <c r="Y78" s="532"/>
      <c r="Z78" s="532"/>
      <c r="AA78" s="532"/>
      <c r="AB78" s="532"/>
      <c r="AC78" s="532"/>
      <c r="AD78" s="532"/>
      <c r="AE78" s="532"/>
      <c r="AF78" s="532"/>
      <c r="AG78" s="532"/>
      <c r="AH78" s="532"/>
      <c r="AI78" s="532"/>
      <c r="AJ78" s="532"/>
      <c r="AK78" s="532"/>
      <c r="AL78" s="532"/>
    </row>
    <row r="79" spans="1:38" ht="12.75" customHeight="1" x14ac:dyDescent="0.2">
      <c r="B79" s="6"/>
      <c r="C79" s="34"/>
      <c r="D79" s="34"/>
      <c r="E79" s="34"/>
      <c r="F79" s="6"/>
      <c r="G79" s="7"/>
      <c r="H79" s="6"/>
      <c r="I79" s="34"/>
      <c r="J79" s="6"/>
      <c r="K79" s="17"/>
      <c r="L79" s="191"/>
      <c r="M79" s="6"/>
      <c r="N79" s="683" t="s">
        <v>551</v>
      </c>
      <c r="O79" s="679"/>
      <c r="P79" s="679"/>
      <c r="Q79" s="6"/>
      <c r="R79" s="16" t="s">
        <v>63</v>
      </c>
      <c r="S79" s="6"/>
      <c r="T79" s="213">
        <f>ROUND((P16*T16)*P81-(V23+K23+V29+K29+T64)*P81, 0)</f>
        <v>129</v>
      </c>
      <c r="U79" s="6"/>
      <c r="V79" s="17">
        <f>+T79</f>
        <v>129</v>
      </c>
      <c r="X79" s="532"/>
      <c r="Y79" s="532"/>
      <c r="Z79" s="532"/>
      <c r="AA79" s="532"/>
      <c r="AB79" s="532"/>
      <c r="AC79" s="532"/>
      <c r="AD79" s="532"/>
      <c r="AE79" s="532"/>
      <c r="AF79" s="532"/>
      <c r="AG79" s="532"/>
      <c r="AH79" s="532"/>
      <c r="AI79" s="532"/>
      <c r="AJ79" s="532"/>
      <c r="AK79" s="532"/>
      <c r="AL79" s="532"/>
    </row>
    <row r="80" spans="1:38" ht="12.75" customHeight="1" x14ac:dyDescent="0.2">
      <c r="B80" s="6"/>
      <c r="C80" s="684" t="s">
        <v>128</v>
      </c>
      <c r="D80" s="684"/>
      <c r="E80" s="684"/>
      <c r="F80" s="39"/>
      <c r="G80" s="104" t="s">
        <v>63</v>
      </c>
      <c r="H80" s="6"/>
      <c r="I80" s="575">
        <f>Cashrent</f>
        <v>0</v>
      </c>
      <c r="J80" s="6"/>
      <c r="K80" s="17">
        <f>Cashrent</f>
        <v>0</v>
      </c>
      <c r="M80" s="6"/>
      <c r="N80" s="56" t="s">
        <v>556</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4.25" x14ac:dyDescent="0.2">
      <c r="B81" s="6"/>
      <c r="C81" s="684" t="s">
        <v>15</v>
      </c>
      <c r="D81" s="684"/>
      <c r="E81" s="684"/>
      <c r="F81" s="39"/>
      <c r="G81" s="578" t="s">
        <v>63</v>
      </c>
      <c r="H81" s="6"/>
      <c r="I81" s="213">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x14ac:dyDescent="0.2">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x14ac:dyDescent="0.2">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ht="12.75" customHeight="1" x14ac:dyDescent="0.2">
      <c r="B84" s="6"/>
      <c r="C84" s="39"/>
      <c r="D84" s="39"/>
      <c r="E84" s="60"/>
      <c r="F84" s="39"/>
      <c r="G84" s="60"/>
      <c r="H84" s="6"/>
      <c r="I84" s="34"/>
      <c r="J84" s="6"/>
      <c r="K84" s="17"/>
      <c r="M84" s="6"/>
      <c r="N84" s="683" t="s">
        <v>34</v>
      </c>
      <c r="O84" s="679"/>
      <c r="P84" s="679">
        <v>1</v>
      </c>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25" x14ac:dyDescent="0.2">
      <c r="B85" s="6"/>
      <c r="C85" s="6"/>
      <c r="D85" s="6"/>
      <c r="E85" s="34"/>
      <c r="F85" s="6"/>
      <c r="G85" s="7"/>
      <c r="H85" s="6"/>
      <c r="I85" s="34"/>
      <c r="J85" s="6"/>
      <c r="K85" s="17"/>
      <c r="M85" s="6"/>
      <c r="N85" s="679" t="s">
        <v>236</v>
      </c>
      <c r="O85" s="679"/>
      <c r="P85" s="679"/>
      <c r="Q85" s="6"/>
      <c r="R85" s="16" t="s">
        <v>63</v>
      </c>
      <c r="S85" s="6"/>
      <c r="T85" s="213">
        <f>ROUND(($V$20+$V$23+$V$29+$V$38+$V$50+$V$45+$V$63)*OH, 0)</f>
        <v>4</v>
      </c>
      <c r="U85" s="6"/>
      <c r="V85" s="17">
        <f>T85</f>
        <v>4</v>
      </c>
      <c r="X85" s="532"/>
      <c r="Y85" s="532"/>
      <c r="Z85" s="532"/>
      <c r="AA85" s="532"/>
      <c r="AB85" s="532"/>
      <c r="AC85" s="532"/>
      <c r="AD85" s="532"/>
      <c r="AE85" s="532"/>
      <c r="AF85" s="532"/>
      <c r="AG85" s="532"/>
      <c r="AH85" s="532"/>
      <c r="AI85" s="532"/>
      <c r="AJ85" s="532"/>
      <c r="AK85" s="532"/>
      <c r="AL85" s="532"/>
    </row>
    <row r="86" spans="1:38" ht="14.25" x14ac:dyDescent="0.2">
      <c r="B86" s="6"/>
      <c r="C86" s="6"/>
      <c r="D86" s="6"/>
      <c r="E86" s="34"/>
      <c r="F86" s="6"/>
      <c r="G86" s="7"/>
      <c r="H86" s="6"/>
      <c r="I86" s="34"/>
      <c r="J86" s="6"/>
      <c r="K86" s="17"/>
      <c r="M86" s="6"/>
      <c r="N86" s="679" t="s">
        <v>237</v>
      </c>
      <c r="O86" s="679"/>
      <c r="P86" s="679"/>
      <c r="Q86" s="6"/>
      <c r="R86" s="16" t="s">
        <v>63</v>
      </c>
      <c r="S86" s="6"/>
      <c r="T86" s="213">
        <f>ROUND(($V$16)*Mgmtfee, 0)</f>
        <v>28</v>
      </c>
      <c r="U86" s="6"/>
      <c r="V86" s="17">
        <f>T86</f>
        <v>28</v>
      </c>
      <c r="W86" s="154"/>
      <c r="X86" s="532"/>
      <c r="Y86" s="532"/>
      <c r="Z86" s="532"/>
      <c r="AA86" s="532"/>
      <c r="AB86" s="532"/>
      <c r="AC86" s="532"/>
      <c r="AD86" s="532"/>
      <c r="AE86" s="532"/>
      <c r="AF86" s="532"/>
      <c r="AG86" s="532"/>
      <c r="AH86" s="532"/>
      <c r="AI86" s="532"/>
      <c r="AJ86" s="532"/>
      <c r="AK86" s="532"/>
      <c r="AL86" s="532"/>
    </row>
    <row r="87" spans="1:38" ht="12.75" x14ac:dyDescent="0.2">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ht="12.75" x14ac:dyDescent="0.2">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338.83765926250004</v>
      </c>
      <c r="X88" s="532"/>
      <c r="Y88" s="532"/>
      <c r="Z88" s="532"/>
      <c r="AA88" s="532"/>
      <c r="AB88" s="532"/>
      <c r="AC88" s="532"/>
      <c r="AD88" s="532"/>
      <c r="AE88" s="532"/>
      <c r="AF88" s="532"/>
      <c r="AG88" s="532"/>
      <c r="AH88" s="532"/>
      <c r="AI88" s="532"/>
      <c r="AJ88" s="532"/>
      <c r="AK88" s="532"/>
      <c r="AL88" s="532"/>
    </row>
    <row r="89" spans="1:38" ht="12.75" x14ac:dyDescent="0.2">
      <c r="B89" s="6"/>
      <c r="C89" s="6"/>
      <c r="D89" s="6"/>
      <c r="E89" s="34"/>
      <c r="F89" s="6"/>
      <c r="G89" s="7"/>
      <c r="H89" s="6"/>
      <c r="I89" s="34"/>
      <c r="J89" s="6"/>
      <c r="K89" s="17"/>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ht="12.75" x14ac:dyDescent="0.2">
      <c r="B90" s="40"/>
      <c r="C90" s="193" t="s">
        <v>26</v>
      </c>
      <c r="D90" s="193"/>
      <c r="E90" s="194"/>
      <c r="F90" s="193"/>
      <c r="G90" s="195"/>
      <c r="H90" s="193"/>
      <c r="I90" s="194"/>
      <c r="J90" s="193"/>
      <c r="K90" s="196">
        <f>K70+K88</f>
        <v>143.01433500000002</v>
      </c>
      <c r="M90" s="40"/>
      <c r="N90" s="40" t="s">
        <v>26</v>
      </c>
      <c r="O90" s="40"/>
      <c r="P90" s="53"/>
      <c r="Q90" s="40"/>
      <c r="R90" s="41"/>
      <c r="S90" s="40"/>
      <c r="T90" s="53"/>
      <c r="U90" s="40"/>
      <c r="V90" s="42">
        <f>V70+V88</f>
        <v>502.96305107500001</v>
      </c>
      <c r="X90" s="532"/>
      <c r="Y90" s="532"/>
      <c r="Z90" s="532"/>
      <c r="AA90" s="532"/>
      <c r="AB90" s="532"/>
      <c r="AC90" s="532"/>
      <c r="AD90" s="532"/>
      <c r="AE90" s="532"/>
      <c r="AF90" s="532"/>
      <c r="AG90" s="532"/>
      <c r="AH90" s="532"/>
      <c r="AI90" s="532"/>
      <c r="AJ90" s="532"/>
      <c r="AK90" s="532"/>
      <c r="AL90" s="532"/>
    </row>
    <row r="91" spans="1:38" s="38" customFormat="1" ht="12.75" x14ac:dyDescent="0.2">
      <c r="A91" s="89"/>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ht="12.75" x14ac:dyDescent="0.2">
      <c r="A92" s="121"/>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25" x14ac:dyDescent="0.2">
      <c r="A93" s="200"/>
      <c r="B93" s="31"/>
      <c r="C93" s="680" t="s">
        <v>557</v>
      </c>
      <c r="D93" s="680"/>
      <c r="E93" s="680"/>
      <c r="F93" s="680"/>
      <c r="G93" s="680"/>
      <c r="H93" s="680"/>
      <c r="I93" s="680"/>
      <c r="J93" s="680"/>
      <c r="K93" s="680"/>
      <c r="L93" s="121"/>
      <c r="M93" s="40"/>
      <c r="N93" s="579" t="s">
        <v>442</v>
      </c>
      <c r="O93" s="579"/>
      <c r="P93" s="580"/>
      <c r="Q93" s="579"/>
      <c r="R93" s="580"/>
      <c r="S93" s="579"/>
      <c r="T93" s="580"/>
      <c r="U93" s="579"/>
      <c r="V93" s="581">
        <f>V16-(V90)</f>
        <v>55.486948925000036</v>
      </c>
      <c r="X93" s="200"/>
      <c r="Y93" s="200"/>
      <c r="Z93" s="200"/>
      <c r="AA93" s="200"/>
      <c r="AB93" s="200"/>
      <c r="AC93" s="200"/>
      <c r="AD93" s="200"/>
      <c r="AE93" s="200"/>
      <c r="AF93" s="200"/>
      <c r="AG93" s="200"/>
      <c r="AH93" s="200"/>
      <c r="AI93" s="200"/>
      <c r="AJ93" s="200"/>
      <c r="AK93" s="200"/>
      <c r="AL93" s="200"/>
    </row>
    <row r="94" spans="1:38" ht="30" customHeight="1" x14ac:dyDescent="0.2">
      <c r="C94" s="680" t="s">
        <v>553</v>
      </c>
      <c r="D94" s="680"/>
      <c r="E94" s="680"/>
      <c r="F94" s="680"/>
      <c r="G94" s="680"/>
      <c r="H94" s="680"/>
      <c r="I94" s="680"/>
      <c r="J94" s="680"/>
      <c r="K94" s="680"/>
      <c r="M94" s="40"/>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75" x14ac:dyDescent="0.2">
      <c r="M95" s="44"/>
      <c r="N95" s="297" t="s">
        <v>27</v>
      </c>
      <c r="O95" s="44"/>
      <c r="P95" s="62"/>
      <c r="Q95" s="44"/>
      <c r="R95" s="45"/>
      <c r="S95" s="44"/>
      <c r="T95" s="62"/>
      <c r="U95" s="44"/>
      <c r="V95" s="485"/>
      <c r="W95" s="12"/>
      <c r="X95" s="532"/>
      <c r="Y95" s="532"/>
      <c r="Z95" s="532"/>
      <c r="AA95" s="532"/>
      <c r="AB95" s="532"/>
      <c r="AC95" s="532"/>
      <c r="AD95" s="532"/>
      <c r="AE95" s="532"/>
      <c r="AF95" s="532"/>
      <c r="AG95" s="532"/>
      <c r="AH95" s="532"/>
      <c r="AI95" s="532"/>
      <c r="AJ95" s="532"/>
      <c r="AK95" s="532"/>
      <c r="AL95" s="532"/>
    </row>
    <row r="96" spans="1:38" s="31" customFormat="1" ht="39.75" customHeight="1" x14ac:dyDescent="0.2">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6.5" customHeight="1" x14ac:dyDescent="0.2">
      <c r="A97" s="154"/>
      <c r="B97" s="55"/>
      <c r="C97" s="55"/>
      <c r="D97" s="55"/>
      <c r="E97" s="55"/>
      <c r="F97" s="55"/>
      <c r="G97" s="55"/>
      <c r="H97" s="55"/>
      <c r="I97" s="55"/>
      <c r="J97" s="55"/>
      <c r="K97" s="55"/>
      <c r="L97" s="121"/>
      <c r="M97" s="55"/>
      <c r="N97" s="680" t="s">
        <v>558</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x14ac:dyDescent="0.2">
      <c r="A98" s="154"/>
      <c r="L98" s="121"/>
      <c r="N98" s="680" t="s">
        <v>554</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6.5" customHeight="1" x14ac:dyDescent="0.2">
      <c r="A99" s="154"/>
      <c r="B99" s="36"/>
      <c r="C99" s="36"/>
      <c r="D99" s="36"/>
      <c r="E99" s="36"/>
      <c r="F99" s="36"/>
      <c r="G99" s="36"/>
      <c r="H99" s="36"/>
      <c r="I99" s="36"/>
      <c r="J99" s="36"/>
      <c r="K99" s="36"/>
      <c r="L99" s="121"/>
      <c r="M99" s="36"/>
      <c r="N99" s="680" t="s">
        <v>547</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5" customHeight="1" x14ac:dyDescent="0.2">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75" x14ac:dyDescent="0.2">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ht="12.75" x14ac:dyDescent="0.2">
      <c r="A102" s="532"/>
      <c r="M102" s="6"/>
      <c r="N102" s="643" t="s">
        <v>563</v>
      </c>
      <c r="O102" s="636"/>
      <c r="P102" s="637" t="s">
        <v>72</v>
      </c>
      <c r="Q102" s="636"/>
      <c r="R102" s="638" t="s">
        <v>559</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75" x14ac:dyDescent="0.2">
      <c r="A103" s="532"/>
      <c r="M103" s="6"/>
      <c r="N103" s="644" t="s">
        <v>560</v>
      </c>
      <c r="O103" s="636"/>
      <c r="P103" s="639">
        <f>V70</f>
        <v>164.12539181249997</v>
      </c>
      <c r="Q103" s="636"/>
      <c r="R103" s="640">
        <f>P103/$P$16</f>
        <v>2.2482930385273967</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75" x14ac:dyDescent="0.2">
      <c r="A104" s="532"/>
      <c r="M104" s="6"/>
      <c r="N104" s="644" t="s">
        <v>561</v>
      </c>
      <c r="O104" s="636"/>
      <c r="P104" s="639">
        <f>V88</f>
        <v>338.83765926250004</v>
      </c>
      <c r="Q104" s="636"/>
      <c r="R104" s="640">
        <f>P104/$P$16</f>
        <v>4.6416117707191784</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75" x14ac:dyDescent="0.2">
      <c r="A105" s="532"/>
      <c r="M105" s="6"/>
      <c r="N105" s="644" t="s">
        <v>562</v>
      </c>
      <c r="O105" s="636"/>
      <c r="P105" s="639">
        <f>V90</f>
        <v>502.96305107500001</v>
      </c>
      <c r="Q105" s="636"/>
      <c r="R105" s="640">
        <f>P105/$P$16</f>
        <v>6.8899048092465751</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75" x14ac:dyDescent="0.2">
      <c r="A106" s="532"/>
      <c r="M106" s="6"/>
      <c r="N106" s="644"/>
      <c r="O106" s="636"/>
      <c r="P106" s="639"/>
      <c r="Q106" s="636"/>
      <c r="R106" s="640"/>
      <c r="S106" s="6"/>
      <c r="T106" s="34"/>
      <c r="U106" s="6"/>
      <c r="V106" s="6"/>
      <c r="X106" s="532"/>
      <c r="Y106" s="532"/>
      <c r="Z106" s="532"/>
      <c r="AA106" s="532"/>
      <c r="AB106" s="532"/>
      <c r="AC106" s="532"/>
      <c r="AD106" s="532"/>
      <c r="AE106" s="532"/>
      <c r="AF106" s="532"/>
      <c r="AG106" s="532"/>
      <c r="AH106" s="532"/>
      <c r="AI106" s="532"/>
      <c r="AJ106" s="532"/>
      <c r="AK106" s="532"/>
      <c r="AL106" s="532"/>
    </row>
    <row r="107" spans="1:38" ht="12.75" x14ac:dyDescent="0.2">
      <c r="M107" s="6"/>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75" x14ac:dyDescent="0.2">
      <c r="M108" s="6"/>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75" x14ac:dyDescent="0.2">
      <c r="M109" s="9"/>
      <c r="N109" s="9"/>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75" x14ac:dyDescent="0.2">
      <c r="M110" s="9"/>
      <c r="N110" s="220" t="s">
        <v>50</v>
      </c>
      <c r="O110" s="6"/>
      <c r="P110" s="83">
        <f>R110*(1-P108)</f>
        <v>65.7</v>
      </c>
      <c r="Q110" s="24"/>
      <c r="R110" s="25">
        <f>P16</f>
        <v>73</v>
      </c>
      <c r="S110" s="24"/>
      <c r="T110" s="83">
        <f>R110*(1+T108)</f>
        <v>80.300000000000011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x14ac:dyDescent="0.2">
      <c r="M111" s="9"/>
      <c r="N111" s="9"/>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75" x14ac:dyDescent="0.2">
      <c r="M112" s="9"/>
      <c r="N112" s="9" t="s">
        <v>51</v>
      </c>
      <c r="O112" s="6"/>
      <c r="P112" s="26">
        <f>$V$70/P$110</f>
        <v>2.4981033761415521</v>
      </c>
      <c r="Q112" s="6"/>
      <c r="R112" s="26">
        <f>$V$70/R$110</f>
        <v>2.2482930385273967</v>
      </c>
      <c r="S112" s="6"/>
      <c r="T112" s="26">
        <f>$V$70/T$110</f>
        <v>2.0439027622976331</v>
      </c>
      <c r="U112" s="6"/>
      <c r="V112" s="6"/>
      <c r="X112" s="532"/>
      <c r="Y112" s="532"/>
      <c r="Z112" s="532"/>
      <c r="AA112" s="532"/>
      <c r="AB112" s="532"/>
      <c r="AC112" s="532"/>
      <c r="AD112" s="532"/>
      <c r="AE112" s="532"/>
      <c r="AF112" s="532"/>
      <c r="AG112" s="532"/>
      <c r="AH112" s="532"/>
      <c r="AI112" s="532"/>
      <c r="AJ112" s="532"/>
      <c r="AK112" s="532"/>
      <c r="AL112" s="532"/>
    </row>
    <row r="113" spans="12:38" ht="6" customHeight="1" x14ac:dyDescent="0.2">
      <c r="M113" s="9"/>
      <c r="N113" s="9"/>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75" x14ac:dyDescent="0.2">
      <c r="M114" s="9"/>
      <c r="N114" s="9" t="s">
        <v>52</v>
      </c>
      <c r="O114" s="6"/>
      <c r="P114" s="26">
        <f>$V$88/P$110</f>
        <v>5.1573464119101979</v>
      </c>
      <c r="Q114" s="6"/>
      <c r="R114" s="26">
        <f>$V$88/R$110</f>
        <v>4.6416117707191784</v>
      </c>
      <c r="S114" s="6"/>
      <c r="T114" s="26">
        <f>$V$88/T$110</f>
        <v>4.2196470642901618</v>
      </c>
      <c r="U114" s="6"/>
      <c r="V114" s="6"/>
      <c r="X114" s="532"/>
      <c r="Y114" s="532"/>
      <c r="Z114" s="532"/>
      <c r="AA114" s="532"/>
      <c r="AB114" s="532"/>
      <c r="AC114" s="532"/>
      <c r="AD114" s="532"/>
      <c r="AE114" s="532"/>
      <c r="AF114" s="532"/>
      <c r="AG114" s="532"/>
      <c r="AH114" s="532"/>
      <c r="AI114" s="532"/>
      <c r="AJ114" s="532"/>
      <c r="AK114" s="532"/>
      <c r="AL114" s="532"/>
    </row>
    <row r="115" spans="12:38" ht="6" customHeight="1" x14ac:dyDescent="0.2">
      <c r="M115" s="9"/>
      <c r="N115" s="9"/>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75" x14ac:dyDescent="0.2">
      <c r="M116" s="9"/>
      <c r="N116" s="9" t="s">
        <v>61</v>
      </c>
      <c r="O116" s="6"/>
      <c r="P116" s="26">
        <f>$V$90/P$110</f>
        <v>7.65544978805175</v>
      </c>
      <c r="Q116" s="6"/>
      <c r="R116" s="26">
        <f>$V$90/R$110</f>
        <v>6.8899048092465751</v>
      </c>
      <c r="S116" s="6"/>
      <c r="T116" s="26">
        <f>$V$90/T$110</f>
        <v>6.2635498265877949</v>
      </c>
      <c r="U116" s="6"/>
      <c r="V116" s="6"/>
      <c r="X116" s="532"/>
      <c r="Y116" s="532"/>
      <c r="Z116" s="532"/>
      <c r="AA116" s="532"/>
      <c r="AB116" s="532"/>
      <c r="AC116" s="532"/>
      <c r="AD116" s="532"/>
      <c r="AE116" s="532"/>
      <c r="AF116" s="532"/>
      <c r="AG116" s="532"/>
      <c r="AH116" s="532"/>
      <c r="AI116" s="532"/>
      <c r="AJ116" s="532"/>
      <c r="AK116" s="532"/>
      <c r="AL116" s="532"/>
    </row>
    <row r="117" spans="12:38" ht="12.75" x14ac:dyDescent="0.2">
      <c r="M117" s="9"/>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75" x14ac:dyDescent="0.2">
      <c r="M118" s="9"/>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75" x14ac:dyDescent="0.2">
      <c r="M119" s="9"/>
      <c r="N119" s="9"/>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75" x14ac:dyDescent="0.2">
      <c r="M120" s="9"/>
      <c r="N120" s="9"/>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75" x14ac:dyDescent="0.2">
      <c r="M121" s="9"/>
      <c r="N121" s="220" t="s">
        <v>32</v>
      </c>
      <c r="O121" s="6"/>
      <c r="P121" s="27">
        <f>R121*(1-P119)</f>
        <v>6.8850000000000007</v>
      </c>
      <c r="Q121" s="24"/>
      <c r="R121" s="28">
        <f>T16</f>
        <v>7.65</v>
      </c>
      <c r="S121" s="24"/>
      <c r="T121" s="27">
        <f>R121*(1+T119)</f>
        <v>8.4150000000000009</v>
      </c>
      <c r="U121" s="6"/>
      <c r="V121" s="6"/>
      <c r="X121" s="532"/>
      <c r="Y121" s="532"/>
      <c r="Z121" s="532"/>
      <c r="AA121" s="532"/>
      <c r="AB121" s="532"/>
      <c r="AC121" s="532"/>
      <c r="AD121" s="532"/>
      <c r="AE121" s="532"/>
      <c r="AF121" s="532"/>
      <c r="AG121" s="532"/>
      <c r="AH121" s="532"/>
      <c r="AI121" s="532"/>
      <c r="AJ121" s="532"/>
      <c r="AK121" s="532"/>
      <c r="AL121" s="532"/>
    </row>
    <row r="122" spans="12:38" ht="6" customHeight="1" x14ac:dyDescent="0.2">
      <c r="M122" s="9"/>
      <c r="N122" s="9"/>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75" x14ac:dyDescent="0.2">
      <c r="M123" s="6"/>
      <c r="N123" s="6" t="s">
        <v>51</v>
      </c>
      <c r="O123" s="6"/>
      <c r="P123" s="29">
        <f>$V$70/P$121</f>
        <v>23.838110648148142</v>
      </c>
      <c r="Q123" s="6"/>
      <c r="R123" s="29">
        <f>$V$70/R$121</f>
        <v>21.454299583333327</v>
      </c>
      <c r="S123" s="6"/>
      <c r="T123" s="29">
        <f>$V$70/T$121</f>
        <v>19.503908712121206</v>
      </c>
      <c r="U123" s="6"/>
      <c r="V123" s="6"/>
      <c r="X123" s="532"/>
      <c r="Y123" s="532"/>
      <c r="Z123" s="532"/>
      <c r="AA123" s="532"/>
      <c r="AB123" s="532"/>
      <c r="AC123" s="532"/>
      <c r="AD123" s="532"/>
      <c r="AE123" s="532"/>
      <c r="AF123" s="532"/>
      <c r="AG123" s="532"/>
      <c r="AH123" s="532"/>
      <c r="AI123" s="532"/>
      <c r="AJ123" s="532"/>
      <c r="AK123" s="532"/>
      <c r="AL123" s="532"/>
    </row>
    <row r="124" spans="12:38" ht="6" customHeight="1" x14ac:dyDescent="0.2">
      <c r="M124" s="6"/>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75" x14ac:dyDescent="0.2">
      <c r="M125" s="6"/>
      <c r="N125" s="6" t="s">
        <v>52</v>
      </c>
      <c r="O125" s="6"/>
      <c r="P125" s="29">
        <f>$V$88/P$121</f>
        <v>49.213893865286856</v>
      </c>
      <c r="Q125" s="6"/>
      <c r="R125" s="29">
        <f>$V$88/R$121</f>
        <v>44.292504478758175</v>
      </c>
      <c r="S125" s="6"/>
      <c r="T125" s="29">
        <f>$V$88/T$121</f>
        <v>40.265913162507431</v>
      </c>
      <c r="U125" s="6"/>
      <c r="V125" s="6"/>
      <c r="X125" s="532"/>
      <c r="Y125" s="532"/>
      <c r="Z125" s="532"/>
      <c r="AA125" s="532"/>
      <c r="AB125" s="532"/>
      <c r="AC125" s="532"/>
      <c r="AD125" s="532"/>
      <c r="AE125" s="532"/>
      <c r="AF125" s="532"/>
      <c r="AG125" s="532"/>
      <c r="AH125" s="532"/>
      <c r="AI125" s="532"/>
      <c r="AJ125" s="532"/>
      <c r="AK125" s="532"/>
      <c r="AL125" s="532"/>
    </row>
    <row r="126" spans="12:38" ht="6" customHeight="1" x14ac:dyDescent="0.2">
      <c r="M126" s="6"/>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 x14ac:dyDescent="0.2">
      <c r="L127" s="92"/>
      <c r="M127" s="6"/>
      <c r="N127" s="6" t="s">
        <v>61</v>
      </c>
      <c r="O127" s="6"/>
      <c r="P127" s="29">
        <f>$V$90/P$121</f>
        <v>73.052004513434994</v>
      </c>
      <c r="Q127" s="6"/>
      <c r="R127" s="29">
        <f>$V$90/R$121</f>
        <v>65.746804062091499</v>
      </c>
      <c r="S127" s="6"/>
      <c r="T127" s="29">
        <f>$V$90/T$121</f>
        <v>59.769821874628633</v>
      </c>
      <c r="U127" s="6"/>
      <c r="V127" s="6"/>
      <c r="X127" s="136"/>
      <c r="Y127" s="532"/>
      <c r="Z127" s="532"/>
      <c r="AA127" s="532"/>
      <c r="AB127" s="532"/>
      <c r="AC127" s="532"/>
      <c r="AD127" s="532"/>
      <c r="AE127" s="532"/>
      <c r="AF127" s="532"/>
      <c r="AG127" s="532"/>
      <c r="AH127" s="532"/>
      <c r="AI127" s="532"/>
      <c r="AJ127" s="532"/>
      <c r="AK127" s="532"/>
      <c r="AL127" s="532"/>
    </row>
    <row r="128" spans="12:38" ht="14.25" x14ac:dyDescent="0.2">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2:36" ht="14.25" x14ac:dyDescent="0.2">
      <c r="L129" s="184"/>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2:36" ht="12.95" customHeight="1" x14ac:dyDescent="0.2">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2:36" ht="12.95" customHeight="1" x14ac:dyDescent="0.2">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2:36" ht="12.95" customHeight="1" x14ac:dyDescent="0.2">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2:36" ht="12.95" customHeight="1" x14ac:dyDescent="0.2">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2:36" ht="12.95" customHeight="1" x14ac:dyDescent="0.2">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2:36" ht="12.95" customHeight="1" x14ac:dyDescent="0.2">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2:36" ht="12.95" customHeight="1" x14ac:dyDescent="0.2">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2:36" ht="12.95" customHeight="1" x14ac:dyDescent="0.2">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2:36" ht="12.95" customHeight="1" x14ac:dyDescent="0.2">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2:36" ht="12.95" customHeight="1" x14ac:dyDescent="0.2">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2:36" ht="12.95" customHeight="1" x14ac:dyDescent="0.2">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2:36" ht="12.95" customHeight="1" x14ac:dyDescent="0.2">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2:36" ht="12.95" customHeight="1" x14ac:dyDescent="0.2">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2:36" ht="12.95" customHeight="1" x14ac:dyDescent="0.2">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2:36" ht="12.95" customHeight="1" x14ac:dyDescent="0.2">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2.95" customHeight="1" x14ac:dyDescent="0.2">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2.95" customHeight="1" x14ac:dyDescent="0.2">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2.95" customHeight="1" x14ac:dyDescent="0.2">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2.95" customHeight="1" x14ac:dyDescent="0.2">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2.95" customHeight="1" x14ac:dyDescent="0.2">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2.95" customHeight="1" x14ac:dyDescent="0.2">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2.95" customHeight="1" x14ac:dyDescent="0.2">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2.95" customHeight="1" x14ac:dyDescent="0.2">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2.95" customHeight="1" x14ac:dyDescent="0.2">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2.95" customHeight="1" x14ac:dyDescent="0.2">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2.95" customHeight="1" x14ac:dyDescent="0.2">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2.95" customHeight="1" x14ac:dyDescent="0.2">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2.95" customHeight="1" x14ac:dyDescent="0.2">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2.95" customHeight="1" x14ac:dyDescent="0.2">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2.95" customHeight="1" x14ac:dyDescent="0.2">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2.95" customHeight="1" x14ac:dyDescent="0.2">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2.95" customHeight="1" x14ac:dyDescent="0.2">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2.95" customHeight="1" x14ac:dyDescent="0.2">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2.95" customHeight="1" x14ac:dyDescent="0.2">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2.95" customHeight="1" x14ac:dyDescent="0.2">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2.95" customHeight="1" x14ac:dyDescent="0.2">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2.95" customHeight="1" x14ac:dyDescent="0.2">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2.95" customHeight="1" x14ac:dyDescent="0.2">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2.95" customHeight="1" x14ac:dyDescent="0.2">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2.95" customHeight="1" x14ac:dyDescent="0.2">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2.95" customHeight="1" x14ac:dyDescent="0.2">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2.95" customHeight="1" x14ac:dyDescent="0.2">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2.95" customHeight="1" x14ac:dyDescent="0.2">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2.95" customHeight="1" x14ac:dyDescent="0.2">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2.95" customHeight="1" x14ac:dyDescent="0.2">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2.95" customHeight="1" x14ac:dyDescent="0.2">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2.95" customHeight="1" x14ac:dyDescent="0.2">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2.95" customHeight="1" x14ac:dyDescent="0.2">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2.95" customHeight="1" x14ac:dyDescent="0.2">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2.95" customHeight="1" x14ac:dyDescent="0.2">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2.95" customHeight="1" x14ac:dyDescent="0.2">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2.95" customHeight="1" x14ac:dyDescent="0.2">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2.95" customHeight="1" x14ac:dyDescent="0.2">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2.95" customHeight="1" x14ac:dyDescent="0.2">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2.95" customHeight="1" x14ac:dyDescent="0.2">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2.95" customHeight="1" x14ac:dyDescent="0.2">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2.95" customHeight="1" x14ac:dyDescent="0.2">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2.95" customHeight="1" x14ac:dyDescent="0.2">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2.95" customHeight="1" x14ac:dyDescent="0.2">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2.95" customHeight="1" x14ac:dyDescent="0.2">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2.95" customHeight="1" x14ac:dyDescent="0.2">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2.95" customHeight="1" x14ac:dyDescent="0.2">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2.95" customHeight="1" x14ac:dyDescent="0.2">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2.95" customHeight="1" x14ac:dyDescent="0.2">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2.95" customHeight="1" x14ac:dyDescent="0.2">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2.95" customHeight="1" x14ac:dyDescent="0.2">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2.95" customHeight="1" x14ac:dyDescent="0.2">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2.95" customHeight="1" x14ac:dyDescent="0.2">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2.95" customHeight="1" x14ac:dyDescent="0.2">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2.95" customHeight="1" x14ac:dyDescent="0.2">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2.95" customHeight="1" x14ac:dyDescent="0.2">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2.95" customHeight="1" x14ac:dyDescent="0.2">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2.95" customHeight="1" x14ac:dyDescent="0.2">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2.95" customHeight="1" x14ac:dyDescent="0.2">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2.95" customHeight="1" x14ac:dyDescent="0.2">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2.95" customHeight="1" x14ac:dyDescent="0.2">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2.95" customHeight="1" x14ac:dyDescent="0.2">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2.95" customHeight="1" x14ac:dyDescent="0.2">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2.95" customHeight="1" x14ac:dyDescent="0.2">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2.95" customHeight="1" x14ac:dyDescent="0.2">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2.95" customHeight="1" x14ac:dyDescent="0.2">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2.95" customHeight="1" x14ac:dyDescent="0.2">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2.95" customHeight="1" x14ac:dyDescent="0.2">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2.95" customHeight="1" x14ac:dyDescent="0.2">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2.95" customHeight="1" x14ac:dyDescent="0.2">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2.95" customHeight="1" x14ac:dyDescent="0.2">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2.95" customHeight="1" x14ac:dyDescent="0.2">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2.95" customHeight="1" x14ac:dyDescent="0.2">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2.95" customHeight="1" x14ac:dyDescent="0.2">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2.95" customHeight="1" x14ac:dyDescent="0.2">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2.95" customHeight="1" x14ac:dyDescent="0.2">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2.95" customHeight="1" x14ac:dyDescent="0.2">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2.95" customHeight="1" x14ac:dyDescent="0.2">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2.95" customHeight="1" x14ac:dyDescent="0.2">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2.95" customHeight="1" x14ac:dyDescent="0.2">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2.95" customHeight="1" x14ac:dyDescent="0.2">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2.95" customHeight="1" x14ac:dyDescent="0.2">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2.95" customHeight="1" x14ac:dyDescent="0.2">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2.95" customHeight="1" x14ac:dyDescent="0.2">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2.95" customHeight="1" x14ac:dyDescent="0.2">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2.95" customHeight="1" x14ac:dyDescent="0.2">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2.95" customHeight="1" x14ac:dyDescent="0.2">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2.95" customHeight="1" x14ac:dyDescent="0.2">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2.95" customHeight="1" x14ac:dyDescent="0.2">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2.95" customHeight="1" x14ac:dyDescent="0.2">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2.95" customHeight="1" x14ac:dyDescent="0.2">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2.95" customHeight="1" x14ac:dyDescent="0.2">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2.95" customHeight="1" x14ac:dyDescent="0.2">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2.95" customHeight="1" x14ac:dyDescent="0.2">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2.95" customHeight="1" x14ac:dyDescent="0.2">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2.95" customHeight="1" x14ac:dyDescent="0.2">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2.95" customHeight="1" x14ac:dyDescent="0.2">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2.95" customHeight="1" x14ac:dyDescent="0.2">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2.95" customHeight="1" x14ac:dyDescent="0.2">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2.95" customHeight="1" x14ac:dyDescent="0.2">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2.95" customHeight="1" x14ac:dyDescent="0.2">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2.95" customHeight="1" x14ac:dyDescent="0.2">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2.95" customHeight="1" x14ac:dyDescent="0.2">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2.95" customHeight="1" x14ac:dyDescent="0.2">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2.95" customHeight="1" x14ac:dyDescent="0.2">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2.95" customHeight="1" x14ac:dyDescent="0.2">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2.95" customHeight="1" x14ac:dyDescent="0.2">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2.95" customHeight="1" x14ac:dyDescent="0.2">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2.95" customHeight="1" x14ac:dyDescent="0.2">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2.95" customHeight="1" x14ac:dyDescent="0.2">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2.95" customHeight="1" x14ac:dyDescent="0.2">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2.95" customHeight="1" x14ac:dyDescent="0.2">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2.95" customHeight="1" x14ac:dyDescent="0.2">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2.95" customHeight="1" x14ac:dyDescent="0.2">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2.95" customHeight="1" x14ac:dyDescent="0.2">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2.95" customHeight="1" x14ac:dyDescent="0.2">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2.95" customHeight="1" x14ac:dyDescent="0.2">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2.95" customHeight="1" x14ac:dyDescent="0.2">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2.95" customHeight="1" x14ac:dyDescent="0.2">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2.95" customHeight="1" x14ac:dyDescent="0.2">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2.95" customHeight="1" x14ac:dyDescent="0.2">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2.95" customHeight="1" x14ac:dyDescent="0.2">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2.95" customHeight="1" x14ac:dyDescent="0.2">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2.95" customHeight="1" x14ac:dyDescent="0.2">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2.95" customHeight="1" x14ac:dyDescent="0.2">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2.95" customHeight="1" x14ac:dyDescent="0.2">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2.95" customHeight="1" x14ac:dyDescent="0.2">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2.95" customHeight="1" x14ac:dyDescent="0.2">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2.95" customHeight="1" x14ac:dyDescent="0.2">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2.95" customHeight="1" x14ac:dyDescent="0.2">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2.95" customHeight="1" x14ac:dyDescent="0.2">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2.95" customHeight="1" x14ac:dyDescent="0.2">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2.95" customHeight="1" x14ac:dyDescent="0.2">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2.95" customHeight="1" x14ac:dyDescent="0.2">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2.95" customHeight="1" x14ac:dyDescent="0.2">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2.95" customHeight="1" x14ac:dyDescent="0.2">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2.95" customHeight="1" x14ac:dyDescent="0.2">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2.95" customHeight="1" x14ac:dyDescent="0.2">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2.95" customHeight="1" x14ac:dyDescent="0.2">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2.95" customHeight="1" x14ac:dyDescent="0.2">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2.95" customHeight="1" x14ac:dyDescent="0.2">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2.95" customHeight="1" x14ac:dyDescent="0.2">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2.95" customHeight="1" x14ac:dyDescent="0.2">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2.95" customHeight="1" x14ac:dyDescent="0.2">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2.95" customHeight="1" x14ac:dyDescent="0.2">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2.95" customHeight="1" x14ac:dyDescent="0.2">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2.95" customHeight="1" x14ac:dyDescent="0.2">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2.95" customHeight="1" x14ac:dyDescent="0.2">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2.95" customHeight="1" x14ac:dyDescent="0.2">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2.95" customHeight="1" x14ac:dyDescent="0.2">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2.95" customHeight="1" x14ac:dyDescent="0.2">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2.95" customHeight="1" x14ac:dyDescent="0.2">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2.95" customHeight="1" x14ac:dyDescent="0.2">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2.95" customHeight="1" x14ac:dyDescent="0.2">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2.95" customHeight="1" x14ac:dyDescent="0.2">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2.95" customHeight="1" x14ac:dyDescent="0.2">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2.95" customHeight="1" x14ac:dyDescent="0.2">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2.95" customHeight="1" x14ac:dyDescent="0.2">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2.95" customHeight="1" x14ac:dyDescent="0.2">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2.95" customHeight="1" x14ac:dyDescent="0.2">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2.95" customHeight="1" x14ac:dyDescent="0.2">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2.95" customHeight="1" x14ac:dyDescent="0.2">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2.95" customHeight="1" x14ac:dyDescent="0.2">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2.95" customHeight="1" x14ac:dyDescent="0.2">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2.95" customHeight="1" x14ac:dyDescent="0.2">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2.95" customHeight="1" x14ac:dyDescent="0.2">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2.95" customHeight="1" x14ac:dyDescent="0.2">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2.95" customHeight="1" x14ac:dyDescent="0.2">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2.95" customHeight="1" x14ac:dyDescent="0.2">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2.95" customHeight="1" x14ac:dyDescent="0.2">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2.95" customHeight="1" x14ac:dyDescent="0.2">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2.95" customHeight="1" x14ac:dyDescent="0.2">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2.95" customHeight="1" x14ac:dyDescent="0.2">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2.95" customHeight="1" x14ac:dyDescent="0.2">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2.95" customHeight="1" x14ac:dyDescent="0.2">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2.95" customHeight="1" x14ac:dyDescent="0.2">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2.95" customHeight="1" x14ac:dyDescent="0.2">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2.95" customHeight="1" x14ac:dyDescent="0.2">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2.95" customHeight="1" x14ac:dyDescent="0.2">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2.95" customHeight="1" x14ac:dyDescent="0.2">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2.95" customHeight="1" x14ac:dyDescent="0.2">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2.95" customHeight="1" x14ac:dyDescent="0.2">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2.95" customHeight="1" x14ac:dyDescent="0.2">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2.95" customHeight="1" x14ac:dyDescent="0.2">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2.95" customHeight="1" x14ac:dyDescent="0.2">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2.95" customHeight="1" x14ac:dyDescent="0.2">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2.95" customHeight="1" x14ac:dyDescent="0.2">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2.95" customHeight="1" x14ac:dyDescent="0.2">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2.95" customHeight="1" x14ac:dyDescent="0.2">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2.95" customHeight="1" x14ac:dyDescent="0.2">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2.95" customHeight="1" x14ac:dyDescent="0.2">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2.95" customHeight="1" x14ac:dyDescent="0.2">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2.95" customHeight="1" x14ac:dyDescent="0.2">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2.95" customHeight="1" x14ac:dyDescent="0.2">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2.95" customHeight="1" x14ac:dyDescent="0.2">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2.95" customHeight="1" x14ac:dyDescent="0.2">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2.95" customHeight="1" x14ac:dyDescent="0.2">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2.95" customHeight="1" x14ac:dyDescent="0.2">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2.95" customHeight="1" x14ac:dyDescent="0.2">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2.95" customHeight="1" x14ac:dyDescent="0.2">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2.95" customHeight="1" x14ac:dyDescent="0.2">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2.95" customHeight="1" x14ac:dyDescent="0.2">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2.95" customHeight="1" x14ac:dyDescent="0.2">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2.95" customHeight="1" x14ac:dyDescent="0.2">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2.95" customHeight="1" x14ac:dyDescent="0.2">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2.95" customHeight="1" x14ac:dyDescent="0.2">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2.95" customHeight="1" x14ac:dyDescent="0.2">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2.95" customHeight="1" x14ac:dyDescent="0.2">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2.95" customHeight="1" x14ac:dyDescent="0.2">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2.95" customHeight="1" x14ac:dyDescent="0.2">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2.95" customHeight="1" x14ac:dyDescent="0.2">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2.95" customHeight="1" x14ac:dyDescent="0.2">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2.95" customHeight="1" x14ac:dyDescent="0.2">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2.95" customHeight="1" x14ac:dyDescent="0.2">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2.95" customHeight="1" x14ac:dyDescent="0.2">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2.95" customHeight="1" x14ac:dyDescent="0.2">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2.95" customHeight="1" x14ac:dyDescent="0.2">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2.95" customHeight="1" x14ac:dyDescent="0.2">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2.95" customHeight="1" x14ac:dyDescent="0.2">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2.95" customHeight="1" x14ac:dyDescent="0.2">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2.95" customHeight="1" x14ac:dyDescent="0.2">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2.95" customHeight="1" x14ac:dyDescent="0.2">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2.95" customHeight="1" x14ac:dyDescent="0.2">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2.95" customHeight="1" x14ac:dyDescent="0.2">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2.95" customHeight="1" x14ac:dyDescent="0.2">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2.95" customHeight="1" x14ac:dyDescent="0.2">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2.95" customHeight="1" x14ac:dyDescent="0.2">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2.95" customHeight="1" x14ac:dyDescent="0.2">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2.95" customHeight="1" x14ac:dyDescent="0.2">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2.95" customHeight="1" x14ac:dyDescent="0.2">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2.95" customHeight="1" x14ac:dyDescent="0.2">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2.95" customHeight="1" x14ac:dyDescent="0.2">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2.95" customHeight="1" x14ac:dyDescent="0.2">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2.95" customHeight="1" x14ac:dyDescent="0.2">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2.95" customHeight="1" x14ac:dyDescent="0.2">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2.95" customHeight="1" x14ac:dyDescent="0.2">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2.95" customHeight="1" x14ac:dyDescent="0.2">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2.95" customHeight="1" x14ac:dyDescent="0.2">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2.95" customHeight="1" x14ac:dyDescent="0.2">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2.95" customHeight="1" x14ac:dyDescent="0.2">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2.95" customHeight="1" x14ac:dyDescent="0.2">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2.95" customHeight="1" x14ac:dyDescent="0.2">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2.95" customHeight="1" x14ac:dyDescent="0.2">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2.95" customHeight="1" x14ac:dyDescent="0.2">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2.95" customHeight="1" x14ac:dyDescent="0.2">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2.95" customHeight="1" x14ac:dyDescent="0.2">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2.95" customHeight="1" x14ac:dyDescent="0.2">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2.95" customHeight="1" x14ac:dyDescent="0.2">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2.95" customHeight="1" x14ac:dyDescent="0.2">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2.95" customHeight="1" x14ac:dyDescent="0.2">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2.95" customHeight="1" x14ac:dyDescent="0.2">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2.95" customHeight="1" x14ac:dyDescent="0.2">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2.95" customHeight="1" x14ac:dyDescent="0.2">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2.95" customHeight="1" x14ac:dyDescent="0.2">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2.95" customHeight="1" x14ac:dyDescent="0.2">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2.95" customHeight="1" x14ac:dyDescent="0.2">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2.95" customHeight="1" x14ac:dyDescent="0.2">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2.95" customHeight="1" x14ac:dyDescent="0.2">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2.95" customHeight="1" x14ac:dyDescent="0.2">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2.95" customHeight="1" x14ac:dyDescent="0.2">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2.95" customHeight="1" x14ac:dyDescent="0.2">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2.95" customHeight="1" x14ac:dyDescent="0.2">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2.95" customHeight="1" x14ac:dyDescent="0.2">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2.95" customHeight="1" x14ac:dyDescent="0.2">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2.95" customHeight="1" x14ac:dyDescent="0.2">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2.95" customHeight="1" x14ac:dyDescent="0.2">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2.95" customHeight="1" x14ac:dyDescent="0.2">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2.95" customHeight="1" x14ac:dyDescent="0.2">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2.95" customHeight="1" x14ac:dyDescent="0.2">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2.95" customHeight="1" x14ac:dyDescent="0.2">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2.95" customHeight="1" x14ac:dyDescent="0.2">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2.95" customHeight="1" x14ac:dyDescent="0.2">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2.95" customHeight="1" x14ac:dyDescent="0.2">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2.95" customHeight="1" x14ac:dyDescent="0.2">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2.95" customHeight="1" x14ac:dyDescent="0.2">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2.95" customHeight="1" x14ac:dyDescent="0.2">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2.95" customHeight="1" x14ac:dyDescent="0.2">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2.95" customHeight="1" x14ac:dyDescent="0.2">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2.95" customHeight="1" x14ac:dyDescent="0.2">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2.95" customHeight="1" x14ac:dyDescent="0.2">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2.95" customHeight="1" x14ac:dyDescent="0.2">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2.95" customHeight="1" x14ac:dyDescent="0.2">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2.95" customHeight="1" x14ac:dyDescent="0.2">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2.95" customHeight="1" x14ac:dyDescent="0.2">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2.95" customHeight="1" x14ac:dyDescent="0.2">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2.95" customHeight="1" x14ac:dyDescent="0.2">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2.95" customHeight="1" x14ac:dyDescent="0.2">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2.95" customHeight="1" x14ac:dyDescent="0.2">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2.95" customHeight="1" x14ac:dyDescent="0.2">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2.95" customHeight="1" x14ac:dyDescent="0.2">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2.95" customHeight="1" x14ac:dyDescent="0.2">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2.95" customHeight="1" x14ac:dyDescent="0.2">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2.95" customHeight="1" x14ac:dyDescent="0.2">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2.95" customHeight="1" x14ac:dyDescent="0.2">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2.95" customHeight="1" x14ac:dyDescent="0.2">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2.95" customHeight="1" x14ac:dyDescent="0.2">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2.95" customHeight="1" x14ac:dyDescent="0.2">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2.95" customHeight="1" x14ac:dyDescent="0.2">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2.95" customHeight="1" x14ac:dyDescent="0.2">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2.95" customHeight="1" x14ac:dyDescent="0.2">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2.95" customHeight="1" x14ac:dyDescent="0.2">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2.95" customHeight="1" x14ac:dyDescent="0.2">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2.95" customHeight="1" x14ac:dyDescent="0.2">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2.95" customHeight="1" x14ac:dyDescent="0.2">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2.95" customHeight="1" x14ac:dyDescent="0.2">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2.95" customHeight="1" x14ac:dyDescent="0.2">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2.95" customHeight="1" x14ac:dyDescent="0.2">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2.95" customHeight="1" x14ac:dyDescent="0.2">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2.95" customHeight="1" x14ac:dyDescent="0.2">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2.95" customHeight="1" x14ac:dyDescent="0.2">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2.95" customHeight="1" x14ac:dyDescent="0.2">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2.95" customHeight="1" x14ac:dyDescent="0.2">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2.95" customHeight="1" x14ac:dyDescent="0.2">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2.95" customHeight="1" x14ac:dyDescent="0.2">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2.95" customHeight="1" x14ac:dyDescent="0.2">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2.95" customHeight="1" x14ac:dyDescent="0.2">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2.95" customHeight="1" x14ac:dyDescent="0.2">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2.95" customHeight="1" x14ac:dyDescent="0.2">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2.95" customHeight="1" x14ac:dyDescent="0.2">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2.95" customHeight="1" x14ac:dyDescent="0.2">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2.95" customHeight="1" x14ac:dyDescent="0.2">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2.95" customHeight="1" x14ac:dyDescent="0.2">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2.95" customHeight="1" x14ac:dyDescent="0.2">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2.95" customHeight="1" x14ac:dyDescent="0.2">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2.95" customHeight="1" x14ac:dyDescent="0.2">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2.95" customHeight="1" x14ac:dyDescent="0.2">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2.95" customHeight="1" x14ac:dyDescent="0.2">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2.95" customHeight="1" x14ac:dyDescent="0.2">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2.95" customHeight="1" x14ac:dyDescent="0.2">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2.95" customHeight="1" x14ac:dyDescent="0.2">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2.95" customHeight="1" x14ac:dyDescent="0.2">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2.95" customHeight="1" x14ac:dyDescent="0.2">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2.95" customHeight="1" x14ac:dyDescent="0.2">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2.95" customHeight="1" x14ac:dyDescent="0.2">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2.95" customHeight="1" x14ac:dyDescent="0.2">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2.95" customHeight="1" x14ac:dyDescent="0.2">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2.95" customHeight="1" x14ac:dyDescent="0.2">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2.95" customHeight="1" x14ac:dyDescent="0.2">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2.95" customHeight="1" x14ac:dyDescent="0.2">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2.95" customHeight="1" x14ac:dyDescent="0.2">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2.95" customHeight="1" x14ac:dyDescent="0.2">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2.95" customHeight="1" x14ac:dyDescent="0.2">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2.95" customHeight="1" x14ac:dyDescent="0.2">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2.95" customHeight="1" x14ac:dyDescent="0.2">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2.95" customHeight="1" x14ac:dyDescent="0.2">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2.95" customHeight="1" x14ac:dyDescent="0.2">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2.95" customHeight="1" x14ac:dyDescent="0.2">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2.95" customHeight="1" x14ac:dyDescent="0.2">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2.95" customHeight="1" x14ac:dyDescent="0.2">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2.95" customHeight="1" x14ac:dyDescent="0.2">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2.95" customHeight="1" x14ac:dyDescent="0.2">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2.95" customHeight="1" x14ac:dyDescent="0.2">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2.95" customHeight="1" x14ac:dyDescent="0.2">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2.95" customHeight="1" x14ac:dyDescent="0.2">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2.95" customHeight="1" x14ac:dyDescent="0.2">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2.95" customHeight="1" x14ac:dyDescent="0.2">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2.95" customHeight="1" x14ac:dyDescent="0.2">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2.95" customHeight="1" x14ac:dyDescent="0.2">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2.95" customHeight="1" x14ac:dyDescent="0.2">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2.95" customHeight="1" x14ac:dyDescent="0.2">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2.95" customHeight="1" x14ac:dyDescent="0.2">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2.95" customHeight="1" x14ac:dyDescent="0.2">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2.95" customHeight="1" x14ac:dyDescent="0.2">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2.95" customHeight="1" x14ac:dyDescent="0.2">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2.95" customHeight="1" x14ac:dyDescent="0.2">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2.95" customHeight="1" x14ac:dyDescent="0.2">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2.95" customHeight="1" x14ac:dyDescent="0.2">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2.95" customHeight="1" x14ac:dyDescent="0.2">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2.95" customHeight="1" x14ac:dyDescent="0.2">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2.95" customHeight="1" x14ac:dyDescent="0.2">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2.95" customHeight="1" x14ac:dyDescent="0.2">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2.95" customHeight="1" x14ac:dyDescent="0.2">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2.95" customHeight="1" x14ac:dyDescent="0.2">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2.95" customHeight="1" x14ac:dyDescent="0.2">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2.95" customHeight="1" x14ac:dyDescent="0.2">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2.95" customHeight="1" x14ac:dyDescent="0.2">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2.95" customHeight="1" x14ac:dyDescent="0.2">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2.95" customHeight="1" x14ac:dyDescent="0.2">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2.95" customHeight="1" x14ac:dyDescent="0.2">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2.95" customHeight="1" x14ac:dyDescent="0.2">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2.95" customHeight="1" x14ac:dyDescent="0.2">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2.95" customHeight="1" x14ac:dyDescent="0.2">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2.95" customHeight="1" x14ac:dyDescent="0.2">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2.95" customHeight="1" x14ac:dyDescent="0.2">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2.95" customHeight="1" x14ac:dyDescent="0.2">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2.95" customHeight="1" x14ac:dyDescent="0.2">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2.95" customHeight="1" x14ac:dyDescent="0.2">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2.95" customHeight="1" x14ac:dyDescent="0.2">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2.95" customHeight="1" x14ac:dyDescent="0.2">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2.95" customHeight="1" x14ac:dyDescent="0.2">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2.95" customHeight="1" x14ac:dyDescent="0.2">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2.95" customHeight="1" x14ac:dyDescent="0.2">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2.95" customHeight="1" x14ac:dyDescent="0.2">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2.95" customHeight="1" x14ac:dyDescent="0.2">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2.95" customHeight="1" x14ac:dyDescent="0.2">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2.95" customHeight="1" x14ac:dyDescent="0.2">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2.95" customHeight="1" x14ac:dyDescent="0.2">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2.95" customHeight="1" x14ac:dyDescent="0.2">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2.95" customHeight="1" x14ac:dyDescent="0.2">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2.95" customHeight="1" x14ac:dyDescent="0.2">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2.95" customHeight="1" x14ac:dyDescent="0.2">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2.95" customHeight="1" x14ac:dyDescent="0.2">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2.95" customHeight="1" x14ac:dyDescent="0.2">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2.95" customHeight="1" x14ac:dyDescent="0.2">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2.95" customHeight="1" x14ac:dyDescent="0.2">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2.95" customHeight="1" x14ac:dyDescent="0.2">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2.95" customHeight="1" x14ac:dyDescent="0.2">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2.95" customHeight="1" x14ac:dyDescent="0.2">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2.95" customHeight="1" x14ac:dyDescent="0.2">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2.95" customHeight="1" x14ac:dyDescent="0.2">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2.95" customHeight="1" x14ac:dyDescent="0.2">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2.95" customHeight="1" x14ac:dyDescent="0.2">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2.95" customHeight="1" x14ac:dyDescent="0.2">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2.95" customHeight="1" x14ac:dyDescent="0.2">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2.95" customHeight="1" x14ac:dyDescent="0.2">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2.95" customHeight="1" x14ac:dyDescent="0.2">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2.95" customHeight="1" x14ac:dyDescent="0.2">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2.95" customHeight="1" x14ac:dyDescent="0.2">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2.95" customHeight="1" x14ac:dyDescent="0.2">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2.95" customHeight="1" x14ac:dyDescent="0.2">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2.95" customHeight="1" x14ac:dyDescent="0.2">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2.95" customHeight="1" x14ac:dyDescent="0.2">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2.95" customHeight="1" x14ac:dyDescent="0.2">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2.95" customHeight="1" x14ac:dyDescent="0.2">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2.95" customHeight="1" x14ac:dyDescent="0.2">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2.95" customHeight="1" x14ac:dyDescent="0.2">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2.95" customHeight="1" x14ac:dyDescent="0.2">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2.95" customHeight="1" x14ac:dyDescent="0.2">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2.95" customHeight="1" x14ac:dyDescent="0.2">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2.95" customHeight="1" x14ac:dyDescent="0.2">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2.95" customHeight="1" x14ac:dyDescent="0.2">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2.95" customHeight="1" x14ac:dyDescent="0.2">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2.95" customHeight="1" x14ac:dyDescent="0.2">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2.95" customHeight="1" x14ac:dyDescent="0.2">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2.95" customHeight="1" x14ac:dyDescent="0.2">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2.95" customHeight="1" x14ac:dyDescent="0.2">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2.95" customHeight="1" x14ac:dyDescent="0.2">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2.95" customHeight="1" x14ac:dyDescent="0.2">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2.95" customHeight="1" x14ac:dyDescent="0.2">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2.95" customHeight="1" x14ac:dyDescent="0.2">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2.95" customHeight="1" x14ac:dyDescent="0.2">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2.95" customHeight="1" x14ac:dyDescent="0.2">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2.95" customHeight="1" x14ac:dyDescent="0.2">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2.95" customHeight="1" x14ac:dyDescent="0.2">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2.95" customHeight="1" x14ac:dyDescent="0.2">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2.95" customHeight="1" x14ac:dyDescent="0.2">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2.95" customHeight="1" x14ac:dyDescent="0.2">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2.95" customHeight="1" x14ac:dyDescent="0.2">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2.95" customHeight="1" x14ac:dyDescent="0.2">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2.95" customHeight="1" x14ac:dyDescent="0.2">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2.95" customHeight="1" x14ac:dyDescent="0.2">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2.95" customHeight="1" x14ac:dyDescent="0.2">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2.95" customHeight="1" x14ac:dyDescent="0.2">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2.95" customHeight="1" x14ac:dyDescent="0.2">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2.95" customHeight="1" x14ac:dyDescent="0.2">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2.95" customHeight="1" x14ac:dyDescent="0.2">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2.95" customHeight="1" x14ac:dyDescent="0.2">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2.95" customHeight="1" x14ac:dyDescent="0.2">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2.95" customHeight="1" x14ac:dyDescent="0.2">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2.95" customHeight="1" x14ac:dyDescent="0.2">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2.95" customHeight="1" x14ac:dyDescent="0.2">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2.95" customHeight="1" x14ac:dyDescent="0.2">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2.95" customHeight="1" x14ac:dyDescent="0.2">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2.95" customHeight="1" x14ac:dyDescent="0.2">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2.95" customHeight="1" x14ac:dyDescent="0.2">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2.95" customHeight="1" x14ac:dyDescent="0.2">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2.95" customHeight="1" x14ac:dyDescent="0.2">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2.95" customHeight="1" x14ac:dyDescent="0.2">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2.95" customHeight="1" x14ac:dyDescent="0.2">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2.95" customHeight="1" x14ac:dyDescent="0.2">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2.95" customHeight="1" x14ac:dyDescent="0.2">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2.95" customHeight="1" x14ac:dyDescent="0.2">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2.95" customHeight="1" x14ac:dyDescent="0.2">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2.95" customHeight="1" x14ac:dyDescent="0.2">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2.95" customHeight="1" x14ac:dyDescent="0.2">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2.95" customHeight="1" x14ac:dyDescent="0.2">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2.95" customHeight="1" x14ac:dyDescent="0.2">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2.95" customHeight="1" x14ac:dyDescent="0.2">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2.95" customHeight="1" x14ac:dyDescent="0.2">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2.95" customHeight="1" x14ac:dyDescent="0.2">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2.95" customHeight="1" x14ac:dyDescent="0.2">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2.95" customHeight="1" x14ac:dyDescent="0.2">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2.95" customHeight="1" x14ac:dyDescent="0.2">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2.95" customHeight="1" x14ac:dyDescent="0.2">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2.95" customHeight="1" x14ac:dyDescent="0.2">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2.95" customHeight="1" x14ac:dyDescent="0.2">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2.95" customHeight="1" x14ac:dyDescent="0.2">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2.95" customHeight="1" x14ac:dyDescent="0.2">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2.95" customHeight="1" x14ac:dyDescent="0.2">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2.95" customHeight="1" x14ac:dyDescent="0.2">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2.95" customHeight="1" x14ac:dyDescent="0.2">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2.95" customHeight="1" x14ac:dyDescent="0.2">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2.95" customHeight="1" x14ac:dyDescent="0.2">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2.95" customHeight="1" x14ac:dyDescent="0.2">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2.95" customHeight="1" x14ac:dyDescent="0.2">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2.95" customHeight="1" x14ac:dyDescent="0.2">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2.95" customHeight="1" x14ac:dyDescent="0.2">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2.95" customHeight="1" x14ac:dyDescent="0.2">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2.95" customHeight="1" x14ac:dyDescent="0.2">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2.95" customHeight="1" x14ac:dyDescent="0.2">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2.95" customHeight="1" x14ac:dyDescent="0.2">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2.95" customHeight="1" x14ac:dyDescent="0.2">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2.95" customHeight="1" x14ac:dyDescent="0.2">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2.95" customHeight="1" x14ac:dyDescent="0.2">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2.95" customHeight="1" x14ac:dyDescent="0.2">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2.95" customHeight="1" x14ac:dyDescent="0.2">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2.95" customHeight="1" x14ac:dyDescent="0.2">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2.95" customHeight="1" x14ac:dyDescent="0.2">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2.95" customHeight="1" x14ac:dyDescent="0.2">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2.95" customHeight="1" x14ac:dyDescent="0.2">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2.95" customHeight="1" x14ac:dyDescent="0.2">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2.95" customHeight="1" x14ac:dyDescent="0.2">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2.95" customHeight="1" x14ac:dyDescent="0.2">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2.95" customHeight="1" x14ac:dyDescent="0.2">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2.95" customHeight="1" x14ac:dyDescent="0.2">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2.95" customHeight="1" x14ac:dyDescent="0.2">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2.95" customHeight="1" x14ac:dyDescent="0.2">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2.95" customHeight="1" x14ac:dyDescent="0.2">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2.95" customHeight="1" x14ac:dyDescent="0.2">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2.95" customHeight="1" x14ac:dyDescent="0.2">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2.95" customHeight="1" x14ac:dyDescent="0.2">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2.95" customHeight="1" x14ac:dyDescent="0.2">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2.95" customHeight="1" x14ac:dyDescent="0.2">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2.95" customHeight="1" x14ac:dyDescent="0.2">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2.95" customHeight="1" x14ac:dyDescent="0.2">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2.95" customHeight="1" x14ac:dyDescent="0.2">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2.95" customHeight="1" x14ac:dyDescent="0.2">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2.95" customHeight="1" x14ac:dyDescent="0.2">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2.95" customHeight="1" x14ac:dyDescent="0.2">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2.95" customHeight="1" x14ac:dyDescent="0.2">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2.95" customHeight="1" x14ac:dyDescent="0.2">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2.95" customHeight="1" x14ac:dyDescent="0.2">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2.95" customHeight="1" x14ac:dyDescent="0.2">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2.95" customHeight="1" x14ac:dyDescent="0.2">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2.95" customHeight="1" x14ac:dyDescent="0.2">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2.95" customHeight="1" x14ac:dyDescent="0.2">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2.95" customHeight="1" x14ac:dyDescent="0.2">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2.95" customHeight="1" x14ac:dyDescent="0.2">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2.95" customHeight="1" x14ac:dyDescent="0.2">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2.95" customHeight="1" x14ac:dyDescent="0.2">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2.95" customHeight="1" x14ac:dyDescent="0.2">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2.95" customHeight="1" x14ac:dyDescent="0.2">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2.95" customHeight="1" x14ac:dyDescent="0.2">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2.95" customHeight="1" x14ac:dyDescent="0.2">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2.95" customHeight="1" x14ac:dyDescent="0.2">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2.95" customHeight="1" x14ac:dyDescent="0.2">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2.95" customHeight="1" x14ac:dyDescent="0.2">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2.95" customHeight="1" x14ac:dyDescent="0.2">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2.95" customHeight="1" x14ac:dyDescent="0.2">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2.95" customHeight="1" x14ac:dyDescent="0.2">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2.95" customHeight="1" x14ac:dyDescent="0.2">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2.95" customHeight="1" x14ac:dyDescent="0.2">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2.95" customHeight="1" x14ac:dyDescent="0.2">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2.95" customHeight="1" x14ac:dyDescent="0.2">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2.95" customHeight="1" x14ac:dyDescent="0.2">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2.95" customHeight="1" x14ac:dyDescent="0.2">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2.95" customHeight="1" x14ac:dyDescent="0.2">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2.95" customHeight="1" x14ac:dyDescent="0.2">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2.95" customHeight="1" x14ac:dyDescent="0.2">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2.95" customHeight="1" x14ac:dyDescent="0.2">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2.95" customHeight="1" x14ac:dyDescent="0.2">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2.95" customHeight="1" x14ac:dyDescent="0.2">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2.95" customHeight="1" x14ac:dyDescent="0.2">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2.95" customHeight="1" x14ac:dyDescent="0.2">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2.95" customHeight="1" x14ac:dyDescent="0.2">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2.95" customHeight="1" x14ac:dyDescent="0.2">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2.95" customHeight="1" x14ac:dyDescent="0.2">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2.95" customHeight="1" x14ac:dyDescent="0.2">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2.95" customHeight="1" x14ac:dyDescent="0.2">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2.95" customHeight="1" x14ac:dyDescent="0.2">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2.95" customHeight="1" x14ac:dyDescent="0.2">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2.95" customHeight="1" x14ac:dyDescent="0.2">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2.95" customHeight="1" x14ac:dyDescent="0.2">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2.95" customHeight="1" x14ac:dyDescent="0.2">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2.95" customHeight="1" x14ac:dyDescent="0.2">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2.95" customHeight="1" x14ac:dyDescent="0.2">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2.95" customHeight="1" x14ac:dyDescent="0.2">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2.95" customHeight="1" x14ac:dyDescent="0.2">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2.95" customHeight="1" x14ac:dyDescent="0.2">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2.95" customHeight="1" x14ac:dyDescent="0.2">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2.95" customHeight="1" x14ac:dyDescent="0.2">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2.95" customHeight="1" x14ac:dyDescent="0.2">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2.95" customHeight="1" x14ac:dyDescent="0.2">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2.95" customHeight="1" x14ac:dyDescent="0.2">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2.95" customHeight="1" x14ac:dyDescent="0.2">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2.95" customHeight="1" x14ac:dyDescent="0.2">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2.95" customHeight="1" x14ac:dyDescent="0.2">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2.95" customHeight="1" x14ac:dyDescent="0.2">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2.95" customHeight="1" x14ac:dyDescent="0.2">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2.95" customHeight="1" x14ac:dyDescent="0.2">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2.95" customHeight="1" x14ac:dyDescent="0.2">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2.95" customHeight="1" x14ac:dyDescent="0.2">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2.95" customHeight="1" x14ac:dyDescent="0.2">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2.95" customHeight="1" x14ac:dyDescent="0.2">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2.95" customHeight="1" x14ac:dyDescent="0.2">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2.95" customHeight="1" x14ac:dyDescent="0.2">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2.95" customHeight="1" x14ac:dyDescent="0.2">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2.95" customHeight="1" x14ac:dyDescent="0.2">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2.95" customHeight="1" x14ac:dyDescent="0.2">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2.95" customHeight="1" x14ac:dyDescent="0.2">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2.95" customHeight="1" x14ac:dyDescent="0.2">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2.95" customHeight="1" x14ac:dyDescent="0.2">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2.95" customHeight="1" x14ac:dyDescent="0.2">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2.95" customHeight="1" x14ac:dyDescent="0.2">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2.95" customHeight="1" x14ac:dyDescent="0.2">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2.95" customHeight="1" x14ac:dyDescent="0.2">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2.95" customHeight="1" x14ac:dyDescent="0.2">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2.95" customHeight="1" x14ac:dyDescent="0.2">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2.95" customHeight="1" x14ac:dyDescent="0.2">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2.95" customHeight="1" x14ac:dyDescent="0.2">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2.95" customHeight="1" x14ac:dyDescent="0.2">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2.95" customHeight="1" x14ac:dyDescent="0.2">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2.95" customHeight="1" x14ac:dyDescent="0.2">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2.95" customHeight="1" x14ac:dyDescent="0.2">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2.95" customHeight="1" x14ac:dyDescent="0.2">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2.95" customHeight="1" x14ac:dyDescent="0.2">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2.95" customHeight="1" x14ac:dyDescent="0.2">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2.95" customHeight="1" x14ac:dyDescent="0.2">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2.95" customHeight="1" x14ac:dyDescent="0.2">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2.95" customHeight="1" x14ac:dyDescent="0.2">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2.95" customHeight="1" x14ac:dyDescent="0.2">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2.95" customHeight="1" x14ac:dyDescent="0.2">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2.95" customHeight="1" x14ac:dyDescent="0.2">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2.95" customHeight="1" x14ac:dyDescent="0.2">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2.95" customHeight="1" x14ac:dyDescent="0.2">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2.95" customHeight="1" x14ac:dyDescent="0.2">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2.95" customHeight="1" x14ac:dyDescent="0.2">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2.95" customHeight="1" x14ac:dyDescent="0.2">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2.95" customHeight="1" x14ac:dyDescent="0.2">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2.95" customHeight="1" x14ac:dyDescent="0.2">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2.95" customHeight="1" x14ac:dyDescent="0.2">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2.95" customHeight="1" x14ac:dyDescent="0.2">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2.95" customHeight="1" x14ac:dyDescent="0.2">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2.95" customHeight="1" x14ac:dyDescent="0.2">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2.95" customHeight="1" x14ac:dyDescent="0.2">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2.95" customHeight="1" x14ac:dyDescent="0.2">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2.95" customHeight="1" x14ac:dyDescent="0.2">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2.95" customHeight="1" x14ac:dyDescent="0.2">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2.95" customHeight="1" x14ac:dyDescent="0.2">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2.95" customHeight="1" x14ac:dyDescent="0.2">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2.95" customHeight="1" x14ac:dyDescent="0.2">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2.95" customHeight="1" x14ac:dyDescent="0.2">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2.95" customHeight="1" x14ac:dyDescent="0.2">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2.95" customHeight="1" x14ac:dyDescent="0.2">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2.95" customHeight="1" x14ac:dyDescent="0.2">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2.95" customHeight="1" x14ac:dyDescent="0.2">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2.95" customHeight="1" x14ac:dyDescent="0.2">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2.95" customHeight="1" x14ac:dyDescent="0.2">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2.95" customHeight="1" x14ac:dyDescent="0.2">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2.95" customHeight="1" x14ac:dyDescent="0.2">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2.95" customHeight="1" x14ac:dyDescent="0.2">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2.95" customHeight="1" x14ac:dyDescent="0.2">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2.95" customHeight="1" x14ac:dyDescent="0.2">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2.95" customHeight="1" x14ac:dyDescent="0.2">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2.95" customHeight="1" x14ac:dyDescent="0.2">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2.95" customHeight="1" x14ac:dyDescent="0.2">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2.95" customHeight="1" x14ac:dyDescent="0.2">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2.95" customHeight="1" x14ac:dyDescent="0.2">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2.95" customHeight="1" x14ac:dyDescent="0.2">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2.95" customHeight="1" x14ac:dyDescent="0.2">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2.95" customHeight="1" x14ac:dyDescent="0.2">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2.95" customHeight="1" x14ac:dyDescent="0.2">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2.95" customHeight="1" x14ac:dyDescent="0.2">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2.95" customHeight="1" x14ac:dyDescent="0.2">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2.95" customHeight="1" x14ac:dyDescent="0.2">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2.95" customHeight="1" x14ac:dyDescent="0.2">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2.95" customHeight="1" x14ac:dyDescent="0.2">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2.95" customHeight="1" x14ac:dyDescent="0.2">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2.95" customHeight="1" x14ac:dyDescent="0.2">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2.95" customHeight="1" x14ac:dyDescent="0.2">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2.95" customHeight="1" x14ac:dyDescent="0.2">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2.95" customHeight="1" x14ac:dyDescent="0.2">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2.95" customHeight="1" x14ac:dyDescent="0.2">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2.95" customHeight="1" x14ac:dyDescent="0.2">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2.95" customHeight="1" x14ac:dyDescent="0.2">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2.95" customHeight="1" x14ac:dyDescent="0.2">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2.95" customHeight="1" x14ac:dyDescent="0.2">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2.95" customHeight="1" x14ac:dyDescent="0.2">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2.95" customHeight="1" x14ac:dyDescent="0.2">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2.95" customHeight="1" x14ac:dyDescent="0.2">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2.95" customHeight="1" x14ac:dyDescent="0.2">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2.95" customHeight="1" x14ac:dyDescent="0.2">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2.95" customHeight="1" x14ac:dyDescent="0.2">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2.95" customHeight="1" x14ac:dyDescent="0.2">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2.95" customHeight="1" x14ac:dyDescent="0.2">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2.95" customHeight="1" x14ac:dyDescent="0.2">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2.95" customHeight="1" x14ac:dyDescent="0.2">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2.95" customHeight="1" x14ac:dyDescent="0.2">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2.95" customHeight="1" x14ac:dyDescent="0.2">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2.95" customHeight="1" x14ac:dyDescent="0.2">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2.95" customHeight="1" x14ac:dyDescent="0.2">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2.95" customHeight="1" x14ac:dyDescent="0.2">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2.95" customHeight="1" x14ac:dyDescent="0.2">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2.95" customHeight="1" x14ac:dyDescent="0.2">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2.95" customHeight="1" x14ac:dyDescent="0.2">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2.95" customHeight="1" x14ac:dyDescent="0.2">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2.95" customHeight="1" x14ac:dyDescent="0.2">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2.95" customHeight="1" x14ac:dyDescent="0.2">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2.95" customHeight="1" x14ac:dyDescent="0.2">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2.95" customHeight="1" x14ac:dyDescent="0.2">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2.95" customHeight="1" x14ac:dyDescent="0.2">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2.95" customHeight="1" x14ac:dyDescent="0.2">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2.95" customHeight="1" x14ac:dyDescent="0.2">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2.95" customHeight="1" x14ac:dyDescent="0.2">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2.95" customHeight="1" x14ac:dyDescent="0.2">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2.95" customHeight="1" x14ac:dyDescent="0.2">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2.95" customHeight="1" x14ac:dyDescent="0.2">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2.95" customHeight="1" x14ac:dyDescent="0.2">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2.95" customHeight="1" x14ac:dyDescent="0.2">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2.95" customHeight="1" x14ac:dyDescent="0.2">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2.95" customHeight="1" x14ac:dyDescent="0.2">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2.95" customHeight="1" x14ac:dyDescent="0.2">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2.95" customHeight="1" x14ac:dyDescent="0.2">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2.95" customHeight="1" x14ac:dyDescent="0.2">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2.95" customHeight="1" x14ac:dyDescent="0.2">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2.95" customHeight="1" x14ac:dyDescent="0.2">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2.95" customHeight="1" x14ac:dyDescent="0.2">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2.95" customHeight="1" x14ac:dyDescent="0.2">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2.95" customHeight="1" x14ac:dyDescent="0.2">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2.95" customHeight="1" x14ac:dyDescent="0.2">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2.95" customHeight="1" x14ac:dyDescent="0.2">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2.95" customHeight="1" x14ac:dyDescent="0.2">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2.95" customHeight="1" x14ac:dyDescent="0.2">
      <c r="W867" s="532"/>
      <c r="X867" s="532"/>
      <c r="Y867" s="532"/>
      <c r="Z867" s="532"/>
      <c r="AA867" s="532"/>
      <c r="AB867" s="532"/>
      <c r="AC867" s="532"/>
      <c r="AD867" s="532"/>
      <c r="AE867" s="532"/>
      <c r="AF867" s="532"/>
      <c r="AG867" s="532"/>
      <c r="AH867" s="532"/>
      <c r="AI867" s="532"/>
      <c r="AJ867"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12" display="Go to machinery operations" xr:uid="{00000000-0004-0000-0B00-000000000000}"/>
    <hyperlink ref="N39" location="Table13" display="Go to machinery operations" xr:uid="{00000000-0004-0000-0B00-000001000000}"/>
  </hyperlinks>
  <pageMargins left="0.7" right="0.7" top="0.75" bottom="0.75" header="0.3" footer="0.3"/>
  <pageSetup scale="84" fitToHeight="0"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sheetPr>
  <dimension ref="A1:AL866"/>
  <sheetViews>
    <sheetView zoomScale="90" zoomScaleNormal="90" zoomScaleSheetLayoutView="100" workbookViewId="0">
      <selection activeCell="N151" sqref="N151"/>
    </sheetView>
  </sheetViews>
  <sheetFormatPr defaultColWidth="18.7109375" defaultRowHeight="12.95" customHeight="1" x14ac:dyDescent="0.2"/>
  <cols>
    <col min="1" max="1" width="3.140625" style="154" customWidth="1"/>
    <col min="2" max="2" width="0.5703125" style="31" customWidth="1"/>
    <col min="3" max="3" width="39.85546875" style="31" customWidth="1"/>
    <col min="4" max="4" width="2.42578125" style="31" customWidth="1"/>
    <col min="5" max="5" width="8.7109375" style="31" customWidth="1"/>
    <col min="6" max="6" width="2.140625" style="31" customWidth="1"/>
    <col min="7" max="7" width="10.7109375" style="31" customWidth="1"/>
    <col min="8" max="8" width="2.28515625" style="31" customWidth="1"/>
    <col min="9" max="9" width="8.7109375" style="31" customWidth="1"/>
    <col min="10" max="10" width="2.28515625" style="31" customWidth="1"/>
    <col min="11" max="11" width="9.85546875" style="31" customWidth="1"/>
    <col min="12" max="12" width="7.140625" style="121" customWidth="1"/>
  </cols>
  <sheetData>
    <row r="1" spans="1:38" s="31" customFormat="1" ht="12" customHeight="1" x14ac:dyDescent="0.25">
      <c r="A1" s="249"/>
      <c r="L1" s="121"/>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x14ac:dyDescent="0.2">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75" x14ac:dyDescent="0.25">
      <c r="A8" s="249"/>
      <c r="C8" s="197" t="s">
        <v>511</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75" x14ac:dyDescent="0.25">
      <c r="A10" s="198"/>
      <c r="B10" s="68"/>
      <c r="C10" s="677" t="s">
        <v>293</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25">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25" x14ac:dyDescent="0.2">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ht="12.75" x14ac:dyDescent="0.2">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ht="12.75" x14ac:dyDescent="0.2">
      <c r="B16" s="6"/>
      <c r="C16" s="180" t="s">
        <v>540</v>
      </c>
      <c r="D16" s="9"/>
      <c r="E16" s="115">
        <f>ySWSW_CR</f>
        <v>50</v>
      </c>
      <c r="F16" s="9"/>
      <c r="G16" s="201" t="s">
        <v>91</v>
      </c>
      <c r="H16" s="9"/>
      <c r="I16" s="116">
        <f>Summary!F34</f>
        <v>6.42</v>
      </c>
      <c r="J16" s="9"/>
      <c r="K16" s="11">
        <f>E16*I16</f>
        <v>321</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75" x14ac:dyDescent="0.2">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75" x14ac:dyDescent="0.2">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75" x14ac:dyDescent="0.25">
      <c r="B20" s="7"/>
      <c r="C20" s="40" t="s">
        <v>69</v>
      </c>
      <c r="D20" s="6"/>
      <c r="E20" s="54"/>
      <c r="F20" s="6"/>
      <c r="G20" s="7"/>
      <c r="H20" s="6"/>
      <c r="I20" s="49"/>
      <c r="J20" s="6"/>
      <c r="K20" s="107">
        <f>SUM(K21:K21)</f>
        <v>20</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ht="12.75" x14ac:dyDescent="0.2">
      <c r="B21" s="7"/>
      <c r="C21" s="43" t="s">
        <v>432</v>
      </c>
      <c r="D21" s="6"/>
      <c r="E21" s="114">
        <v>80</v>
      </c>
      <c r="F21" s="6"/>
      <c r="G21" s="16" t="s">
        <v>62</v>
      </c>
      <c r="H21" s="6"/>
      <c r="I21" s="111">
        <f>sdSWSW</f>
        <v>0.25</v>
      </c>
      <c r="J21" s="6"/>
      <c r="K21" s="14">
        <f>E21*I21</f>
        <v>20</v>
      </c>
      <c r="L21" s="136"/>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75" x14ac:dyDescent="0.2">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41.81</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45</v>
      </c>
      <c r="F24" s="6"/>
      <c r="G24" s="16" t="s">
        <v>62</v>
      </c>
      <c r="H24" s="6"/>
      <c r="I24" s="111">
        <f>Nitrogen</f>
        <v>0.77</v>
      </c>
      <c r="J24" s="6"/>
      <c r="K24" s="17">
        <f>E24*I24</f>
        <v>34.65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10</v>
      </c>
      <c r="F25" s="6"/>
      <c r="G25" s="16" t="s">
        <v>62</v>
      </c>
      <c r="H25" s="6"/>
      <c r="I25" s="111">
        <f>Phosphorous</f>
        <v>0.66</v>
      </c>
      <c r="J25" s="6"/>
      <c r="K25" s="17">
        <f>E25*I25</f>
        <v>6.6000000000000005</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75" x14ac:dyDescent="0.2">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SUM(K30:K35)</f>
        <v>49.463999999999999</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16</v>
      </c>
      <c r="F30" s="6"/>
      <c r="G30" s="104" t="s">
        <v>64</v>
      </c>
      <c r="H30" s="6"/>
      <c r="I30" s="111">
        <f>Glyphosphate</f>
        <v>0.2</v>
      </c>
      <c r="J30" s="6"/>
      <c r="K30" s="17">
        <f t="shared" ref="K30:K35"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ht="12.75" x14ac:dyDescent="0.2">
      <c r="B31" s="6"/>
      <c r="C31" s="43" t="s">
        <v>571</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ht="12.75" x14ac:dyDescent="0.2">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ht="12.75" x14ac:dyDescent="0.2">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ht="12.75" x14ac:dyDescent="0.2">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ht="12.75" x14ac:dyDescent="0.2">
      <c r="B35" s="6"/>
      <c r="C35" s="43" t="s">
        <v>127</v>
      </c>
      <c r="D35" s="6"/>
      <c r="E35" s="112">
        <v>4</v>
      </c>
      <c r="F35" s="6"/>
      <c r="G35" s="181" t="s">
        <v>64</v>
      </c>
      <c r="H35" s="6"/>
      <c r="I35" s="111">
        <f>Tilt</f>
        <v>3.63</v>
      </c>
      <c r="J35" s="6"/>
      <c r="K35" s="17">
        <f t="shared" si="0"/>
        <v>14.52</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75" x14ac:dyDescent="0.2">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ht="12.75" x14ac:dyDescent="0.2">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ht="12.75" x14ac:dyDescent="0.2">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ht="12.75" x14ac:dyDescent="0.2">
      <c r="A39" s="505"/>
      <c r="B39" s="6"/>
      <c r="C39" s="130" t="s">
        <v>102</v>
      </c>
      <c r="D39" s="6"/>
      <c r="E39" s="33">
        <v>1</v>
      </c>
      <c r="F39" s="6"/>
      <c r="G39" s="16" t="s">
        <v>63</v>
      </c>
      <c r="H39" s="6"/>
      <c r="I39" s="109">
        <f>'Machinery Costs'!K340</f>
        <v>13.979999999999999</v>
      </c>
      <c r="J39" s="6"/>
      <c r="K39" s="17">
        <f>E39*I39</f>
        <v>13.979999999999999</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ht="12.75" x14ac:dyDescent="0.2">
      <c r="B40" s="6"/>
      <c r="C40" s="30" t="s">
        <v>103</v>
      </c>
      <c r="D40" s="6"/>
      <c r="E40" s="33">
        <v>1</v>
      </c>
      <c r="F40" s="6"/>
      <c r="G40" s="16" t="s">
        <v>63</v>
      </c>
      <c r="H40" s="6"/>
      <c r="I40" s="109">
        <f>'Machinery Costs'!I340</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ht="12.75" x14ac:dyDescent="0.2">
      <c r="B41" s="6"/>
      <c r="C41" s="30" t="s">
        <v>25</v>
      </c>
      <c r="D41" s="6"/>
      <c r="E41" s="33">
        <v>1</v>
      </c>
      <c r="F41" s="6"/>
      <c r="G41" s="16" t="s">
        <v>63</v>
      </c>
      <c r="H41" s="6"/>
      <c r="I41" s="109">
        <f>'Machinery Costs'!H340</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ht="12.75" x14ac:dyDescent="0.2">
      <c r="B42" s="6"/>
      <c r="C42" s="30" t="s">
        <v>54</v>
      </c>
      <c r="D42" s="6"/>
      <c r="E42" s="110">
        <f>'Machinery Costs'!L340</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75" x14ac:dyDescent="0.2">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ht="12.75" x14ac:dyDescent="0.2">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ht="12.75" x14ac:dyDescent="0.2">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ht="12.75" x14ac:dyDescent="0.2">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ht="12.75" x14ac:dyDescent="0.2">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x14ac:dyDescent="0.2">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x14ac:dyDescent="0.2">
      <c r="B49" s="6"/>
      <c r="C49" s="40" t="s">
        <v>234</v>
      </c>
      <c r="D49" s="6"/>
      <c r="E49" s="34"/>
      <c r="F49" s="6"/>
      <c r="G49" s="7"/>
      <c r="H49" s="6"/>
      <c r="I49" s="49"/>
      <c r="J49" s="6"/>
      <c r="K49" s="106">
        <f>SUM(K50:K60)</f>
        <v>13.350000000000001</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x14ac:dyDescent="0.2">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ht="12.75" x14ac:dyDescent="0.2">
      <c r="B51" s="6"/>
      <c r="C51" s="130" t="s">
        <v>231</v>
      </c>
      <c r="D51" s="6"/>
      <c r="E51" s="114">
        <v>0</v>
      </c>
      <c r="F51" s="6"/>
      <c r="G51" s="104" t="s">
        <v>275</v>
      </c>
      <c r="H51" s="6"/>
      <c r="I51" s="248">
        <f>E53*(E54*E16)</f>
        <v>0.5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ht="12.75" x14ac:dyDescent="0.2">
      <c r="B52" s="6"/>
      <c r="C52" s="56" t="s">
        <v>549</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x14ac:dyDescent="0.2">
      <c r="B53" s="6"/>
      <c r="C53" s="243" t="s">
        <v>438</v>
      </c>
      <c r="D53" s="56"/>
      <c r="E53" s="111">
        <f>WheatStorage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ht="12.75" x14ac:dyDescent="0.2">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ht="12.75" x14ac:dyDescent="0.2">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75" x14ac:dyDescent="0.2">
      <c r="B56" s="6"/>
      <c r="C56" s="130" t="s">
        <v>548</v>
      </c>
      <c r="D56" s="6"/>
      <c r="E56" s="244">
        <f>E16</f>
        <v>50</v>
      </c>
      <c r="F56" s="6"/>
      <c r="G56" s="104" t="s">
        <v>91</v>
      </c>
      <c r="H56" s="6"/>
      <c r="I56" s="248">
        <f>(E58*E59)/E60</f>
        <v>0.26700000000000002</v>
      </c>
      <c r="J56" s="6"/>
      <c r="K56" s="209">
        <f>E56*I56</f>
        <v>13.350000000000001</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x14ac:dyDescent="0.2">
      <c r="B57" s="6"/>
      <c r="C57" s="56" t="s">
        <v>550</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x14ac:dyDescent="0.2">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x14ac:dyDescent="0.2">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x14ac:dyDescent="0.2">
      <c r="B60" s="6"/>
      <c r="C60" s="243" t="s">
        <v>220</v>
      </c>
      <c r="D60" s="6"/>
      <c r="E60" s="114">
        <v>1000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ht="12.75" x14ac:dyDescent="0.2">
      <c r="B62" s="6"/>
      <c r="C62" s="40" t="s">
        <v>40</v>
      </c>
      <c r="D62" s="6"/>
      <c r="E62" s="34"/>
      <c r="F62" s="6"/>
      <c r="G62" s="7"/>
      <c r="H62" s="6"/>
      <c r="I62" s="49"/>
      <c r="J62" s="6"/>
      <c r="K62" s="106">
        <f>SUM(K63:K65)</f>
        <v>8.5</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ht="12.75" x14ac:dyDescent="0.2">
      <c r="B63" s="6"/>
      <c r="C63" s="15" t="s">
        <v>65</v>
      </c>
      <c r="D63" s="6"/>
      <c r="E63" s="33">
        <v>1</v>
      </c>
      <c r="F63" s="6"/>
      <c r="G63" s="16" t="s">
        <v>63</v>
      </c>
      <c r="H63" s="6"/>
      <c r="I63" s="113">
        <f>ciSWSW</f>
        <v>8.5</v>
      </c>
      <c r="J63" s="6"/>
      <c r="K63" s="17">
        <f>E63*I63</f>
        <v>8.5</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75" x14ac:dyDescent="0.2">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75" x14ac:dyDescent="0.2">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75" x14ac:dyDescent="0.2">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25" x14ac:dyDescent="0.2">
      <c r="B67" s="6"/>
      <c r="C67" s="56" t="s">
        <v>235</v>
      </c>
      <c r="D67" s="6"/>
      <c r="E67" s="34"/>
      <c r="F67" s="6"/>
      <c r="G67" s="7"/>
      <c r="H67" s="6"/>
      <c r="I67" s="34"/>
      <c r="J67" s="6"/>
      <c r="K67" s="17">
        <f>+(K20+K23+K29+K37+K44+K49+K62)*Operloan*0.75</f>
        <v>7.3218530625000007</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75" x14ac:dyDescent="0.2">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ht="12.75" x14ac:dyDescent="0.2">
      <c r="B69" s="40"/>
      <c r="C69" s="40" t="s">
        <v>85</v>
      </c>
      <c r="D69" s="40"/>
      <c r="E69" s="53"/>
      <c r="F69" s="40"/>
      <c r="G69" s="41"/>
      <c r="H69" s="40"/>
      <c r="I69" s="53"/>
      <c r="J69" s="40"/>
      <c r="K69" s="42">
        <f>SUM(K20,K23,K29,K37,K44,K49,K62,K67)</f>
        <v>177.10395306249998</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ht="12.75" x14ac:dyDescent="0.2">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ht="12.75" x14ac:dyDescent="0.2">
      <c r="B71" s="9"/>
      <c r="C71" s="50" t="s">
        <v>303</v>
      </c>
      <c r="D71" s="50"/>
      <c r="E71" s="51"/>
      <c r="F71" s="50"/>
      <c r="G71" s="52"/>
      <c r="H71" s="50"/>
      <c r="I71" s="51"/>
      <c r="J71" s="50"/>
      <c r="K71" s="73">
        <f>K16-(K69)</f>
        <v>143.89604693750002</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ht="12.75" x14ac:dyDescent="0.2">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ht="12.75" x14ac:dyDescent="0.2">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ht="12.75" x14ac:dyDescent="0.2">
      <c r="B74" s="6"/>
      <c r="C74" s="679" t="s">
        <v>100</v>
      </c>
      <c r="D74" s="679"/>
      <c r="E74" s="679"/>
      <c r="F74" s="6"/>
      <c r="G74" s="16" t="s">
        <v>63</v>
      </c>
      <c r="H74" s="6"/>
      <c r="I74" s="109">
        <f>'Machinery Costs'!D340</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ht="12.75" x14ac:dyDescent="0.2">
      <c r="B75" s="6"/>
      <c r="C75" s="679" t="s">
        <v>101</v>
      </c>
      <c r="D75" s="679"/>
      <c r="E75" s="679"/>
      <c r="F75" s="6"/>
      <c r="G75" s="16" t="s">
        <v>63</v>
      </c>
      <c r="H75" s="6"/>
      <c r="I75" s="109">
        <f>'Machinery Costs'!E340</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ht="12.75" x14ac:dyDescent="0.2">
      <c r="B76" s="6"/>
      <c r="C76" s="679" t="s">
        <v>3</v>
      </c>
      <c r="D76" s="679"/>
      <c r="E76" s="679"/>
      <c r="F76" s="6"/>
      <c r="G76" s="16" t="s">
        <v>63</v>
      </c>
      <c r="H76" s="6"/>
      <c r="I76" s="109">
        <f>'Machinery Costs'!F340</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t="12.75" hidden="1" x14ac:dyDescent="0.2">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75" x14ac:dyDescent="0.2">
      <c r="B78" s="6"/>
      <c r="C78" s="683" t="s">
        <v>551</v>
      </c>
      <c r="D78" s="679"/>
      <c r="E78" s="679"/>
      <c r="F78" s="6"/>
      <c r="G78" s="16" t="s">
        <v>63</v>
      </c>
      <c r="H78" s="6"/>
      <c r="I78" s="64">
        <f>ROUND((E16*I16)*E80-(K23+K29+I63)*E80, 0)</f>
        <v>74</v>
      </c>
      <c r="J78" s="6"/>
      <c r="K78" s="17">
        <f>+I78</f>
        <v>74</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75" x14ac:dyDescent="0.2">
      <c r="B79" s="6"/>
      <c r="C79" s="56" t="s">
        <v>556</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ht="12.75" x14ac:dyDescent="0.2">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ht="12.75" x14ac:dyDescent="0.2">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x14ac:dyDescent="0.2">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ht="12.75" x14ac:dyDescent="0.2">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25" x14ac:dyDescent="0.2">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25" x14ac:dyDescent="0.2">
      <c r="B85" s="6"/>
      <c r="C85" s="679" t="s">
        <v>237</v>
      </c>
      <c r="D85" s="679"/>
      <c r="E85" s="679"/>
      <c r="F85" s="6"/>
      <c r="G85" s="16" t="s">
        <v>63</v>
      </c>
      <c r="H85" s="6"/>
      <c r="I85" s="64">
        <f>ROUND(($K$16)*Mgmtfee, 0)</f>
        <v>16</v>
      </c>
      <c r="J85" s="6"/>
      <c r="K85" s="17">
        <f>I85</f>
        <v>16</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75" x14ac:dyDescent="0.2">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ht="12.75" x14ac:dyDescent="0.2">
      <c r="B87" s="40"/>
      <c r="C87" s="40" t="s">
        <v>84</v>
      </c>
      <c r="D87" s="40"/>
      <c r="E87" s="53"/>
      <c r="F87" s="40"/>
      <c r="G87" s="41"/>
      <c r="H87" s="40"/>
      <c r="I87" s="53"/>
      <c r="J87" s="40"/>
      <c r="K87" s="42">
        <f>SUM(K74:K85)</f>
        <v>126.91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75" x14ac:dyDescent="0.2">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ht="12.75" x14ac:dyDescent="0.2">
      <c r="B89" s="40"/>
      <c r="C89" s="40" t="s">
        <v>26</v>
      </c>
      <c r="D89" s="40"/>
      <c r="E89" s="53"/>
      <c r="F89" s="40"/>
      <c r="G89" s="41"/>
      <c r="H89" s="40"/>
      <c r="I89" s="53"/>
      <c r="J89" s="40"/>
      <c r="K89" s="42">
        <f>K69+K87</f>
        <v>304.01395306249998</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75" x14ac:dyDescent="0.2">
      <c r="A90" s="89"/>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ht="12.75" x14ac:dyDescent="0.2">
      <c r="B91" s="44"/>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ht="12.75" x14ac:dyDescent="0.2">
      <c r="A92" s="200"/>
      <c r="B92" s="31"/>
      <c r="C92" s="579" t="s">
        <v>442</v>
      </c>
      <c r="D92" s="579"/>
      <c r="E92" s="580"/>
      <c r="F92" s="579"/>
      <c r="G92" s="580"/>
      <c r="H92" s="579"/>
      <c r="I92" s="580"/>
      <c r="J92" s="579"/>
      <c r="K92" s="581">
        <f>K16-(K89)</f>
        <v>16.986046937500021</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x14ac:dyDescent="0.2">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75" x14ac:dyDescent="0.2">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39.75" customHeight="1" x14ac:dyDescent="0.2">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25" x14ac:dyDescent="0.2">
      <c r="A96" s="154"/>
      <c r="B96" s="55"/>
      <c r="C96" s="680" t="s">
        <v>558</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7" customHeight="1" x14ac:dyDescent="0.2">
      <c r="A97" s="154"/>
      <c r="C97" s="680" t="s">
        <v>554</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6.5" customHeight="1" x14ac:dyDescent="0.2">
      <c r="A98" s="154"/>
      <c r="B98" s="36"/>
      <c r="C98" s="680" t="s">
        <v>547</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x14ac:dyDescent="0.2">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75" x14ac:dyDescent="0.2">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ht="12.75" x14ac:dyDescent="0.2">
      <c r="A101" s="532"/>
      <c r="B101" s="532"/>
      <c r="C101" s="643" t="s">
        <v>563</v>
      </c>
      <c r="D101" s="636"/>
      <c r="E101" s="637" t="s">
        <v>72</v>
      </c>
      <c r="F101" s="636"/>
      <c r="G101" s="638" t="s">
        <v>559</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75" x14ac:dyDescent="0.2">
      <c r="A102" s="532"/>
      <c r="B102" s="532"/>
      <c r="C102" s="644" t="s">
        <v>560</v>
      </c>
      <c r="D102" s="636"/>
      <c r="E102" s="639">
        <f>K69</f>
        <v>177.10395306249998</v>
      </c>
      <c r="F102" s="636"/>
      <c r="G102" s="640">
        <f>E102/$E$16</f>
        <v>3.5420790612499995</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75" x14ac:dyDescent="0.2">
      <c r="A103" s="532"/>
      <c r="B103" s="532"/>
      <c r="C103" s="644" t="s">
        <v>561</v>
      </c>
      <c r="D103" s="636"/>
      <c r="E103" s="639">
        <f>K87</f>
        <v>126.91</v>
      </c>
      <c r="F103" s="636"/>
      <c r="G103" s="640">
        <f>E103/$E$16</f>
        <v>2.5381999999999998</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75" x14ac:dyDescent="0.2">
      <c r="A104" s="532"/>
      <c r="B104" s="532"/>
      <c r="C104" s="644" t="s">
        <v>562</v>
      </c>
      <c r="D104" s="636"/>
      <c r="E104" s="639">
        <f>K89</f>
        <v>304.01395306249998</v>
      </c>
      <c r="F104" s="636"/>
      <c r="G104" s="640">
        <f>E104/$E$16</f>
        <v>6.0802790612499997</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75" x14ac:dyDescent="0.2">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75" x14ac:dyDescent="0.2">
      <c r="B106" s="154"/>
      <c r="C106" s="19" t="s">
        <v>28</v>
      </c>
      <c r="D106" s="6"/>
      <c r="E106" s="20" t="s">
        <v>29</v>
      </c>
      <c r="F106" s="6"/>
      <c r="G106" s="7"/>
      <c r="H106" s="6"/>
      <c r="I106" s="20" t="s">
        <v>31</v>
      </c>
      <c r="J106" s="6"/>
      <c r="K106" s="6"/>
      <c r="L106" s="154"/>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75" x14ac:dyDescent="0.2">
      <c r="B107" s="154"/>
      <c r="C107" s="6"/>
      <c r="D107" s="6"/>
      <c r="E107" s="21">
        <v>0.1</v>
      </c>
      <c r="F107" s="6"/>
      <c r="G107" s="7" t="s">
        <v>30</v>
      </c>
      <c r="H107" s="6"/>
      <c r="I107" s="21">
        <v>0.1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75" x14ac:dyDescent="0.2">
      <c r="B108" s="154"/>
      <c r="C108" s="6"/>
      <c r="D108" s="6"/>
      <c r="E108" s="22"/>
      <c r="F108" s="3"/>
      <c r="G108" s="2" t="s">
        <v>32</v>
      </c>
      <c r="H108" s="3"/>
      <c r="I108" s="22"/>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75" x14ac:dyDescent="0.2">
      <c r="B109" s="154"/>
      <c r="C109" s="23" t="s">
        <v>50</v>
      </c>
      <c r="D109" s="6"/>
      <c r="E109" s="83">
        <f>G109*(1-E107)</f>
        <v>45</v>
      </c>
      <c r="F109" s="24"/>
      <c r="G109" s="25">
        <f>E16</f>
        <v>50</v>
      </c>
      <c r="H109" s="24"/>
      <c r="I109" s="83">
        <f>G109*(1+I107)</f>
        <v>55.000000000000007</v>
      </c>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6" customHeight="1" x14ac:dyDescent="0.2">
      <c r="B110" s="154"/>
      <c r="C110" s="6"/>
      <c r="D110" s="6"/>
      <c r="E110" s="34"/>
      <c r="F110" s="6"/>
      <c r="G110" s="7"/>
      <c r="H110" s="6"/>
      <c r="I110" s="34"/>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12.75" x14ac:dyDescent="0.2">
      <c r="B111" s="154"/>
      <c r="C111" s="495" t="s">
        <v>51</v>
      </c>
      <c r="D111" s="6"/>
      <c r="E111" s="26">
        <f>$K$69/E109</f>
        <v>3.9356434013888886</v>
      </c>
      <c r="F111" s="6"/>
      <c r="G111" s="26">
        <f>$K$69/G109</f>
        <v>3.5420790612499995</v>
      </c>
      <c r="H111" s="6"/>
      <c r="I111" s="26">
        <f>$K$69/I109</f>
        <v>3.2200718738636356</v>
      </c>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6" customHeight="1" x14ac:dyDescent="0.2">
      <c r="B112" s="154"/>
      <c r="C112" s="495"/>
      <c r="D112" s="6"/>
      <c r="E112" s="34"/>
      <c r="F112" s="6"/>
      <c r="G112" s="7"/>
      <c r="H112" s="6"/>
      <c r="I112" s="34"/>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12.75" x14ac:dyDescent="0.2">
      <c r="B113" s="154"/>
      <c r="C113" s="495" t="s">
        <v>52</v>
      </c>
      <c r="D113" s="6"/>
      <c r="E113" s="26">
        <f>$K$87/E109</f>
        <v>2.8202222222222222</v>
      </c>
      <c r="F113" s="6"/>
      <c r="G113" s="26">
        <f>$K$87/G109</f>
        <v>2.5381999999999998</v>
      </c>
      <c r="H113" s="6"/>
      <c r="I113" s="26">
        <f>$K$87/I109</f>
        <v>2.307454545454545</v>
      </c>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6" customHeight="1" x14ac:dyDescent="0.2">
      <c r="B114" s="154"/>
      <c r="C114" s="495"/>
      <c r="D114" s="6"/>
      <c r="E114" s="34"/>
      <c r="F114" s="6"/>
      <c r="G114" s="7"/>
      <c r="H114" s="6"/>
      <c r="I114" s="34"/>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12.75" x14ac:dyDescent="0.2">
      <c r="B115" s="154"/>
      <c r="C115" s="495" t="s">
        <v>61</v>
      </c>
      <c r="D115" s="6"/>
      <c r="E115" s="26">
        <f>$K$89/E109</f>
        <v>6.7558656236111103</v>
      </c>
      <c r="F115" s="6"/>
      <c r="G115" s="26">
        <f>$K$89/G109</f>
        <v>6.0802790612499997</v>
      </c>
      <c r="H115" s="6"/>
      <c r="I115" s="26">
        <f>$K$89/I109</f>
        <v>5.527526419318181</v>
      </c>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75" x14ac:dyDescent="0.2">
      <c r="B116" s="154"/>
      <c r="C116" s="496"/>
      <c r="D116" s="9"/>
      <c r="E116" s="58"/>
      <c r="F116" s="9"/>
      <c r="G116" s="13"/>
      <c r="H116" s="9"/>
      <c r="I116" s="58"/>
      <c r="J116" s="9"/>
      <c r="K116" s="9"/>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75" x14ac:dyDescent="0.2">
      <c r="B117" s="154"/>
      <c r="C117" s="496"/>
      <c r="D117" s="9"/>
      <c r="E117" s="20" t="s">
        <v>29</v>
      </c>
      <c r="F117" s="6"/>
      <c r="G117" s="7"/>
      <c r="H117" s="6"/>
      <c r="I117" s="20" t="s">
        <v>31</v>
      </c>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75" x14ac:dyDescent="0.2">
      <c r="B118" s="154"/>
      <c r="C118" s="495"/>
      <c r="D118" s="6"/>
      <c r="E118" s="21">
        <v>0.1</v>
      </c>
      <c r="F118" s="6"/>
      <c r="G118" s="7" t="s">
        <v>30</v>
      </c>
      <c r="H118" s="6"/>
      <c r="I118" s="21">
        <v>0.1</v>
      </c>
      <c r="J118" s="6"/>
      <c r="K118" s="6"/>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75" x14ac:dyDescent="0.2">
      <c r="B119" s="154"/>
      <c r="C119" s="495"/>
      <c r="D119" s="6"/>
      <c r="E119" s="2"/>
      <c r="F119" s="3"/>
      <c r="G119" s="4" t="s">
        <v>50</v>
      </c>
      <c r="H119" s="3"/>
      <c r="I119" s="2"/>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75" x14ac:dyDescent="0.2">
      <c r="B120" s="154"/>
      <c r="C120" s="497" t="s">
        <v>32</v>
      </c>
      <c r="D120" s="6"/>
      <c r="E120" s="27">
        <f>G120*(1-E118)</f>
        <v>5.7780000000000005</v>
      </c>
      <c r="F120" s="24"/>
      <c r="G120" s="28">
        <f>I16</f>
        <v>6.42</v>
      </c>
      <c r="H120" s="24"/>
      <c r="I120" s="27">
        <f>G120*(1+I118)</f>
        <v>7.0620000000000003</v>
      </c>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6" customHeight="1" x14ac:dyDescent="0.2">
      <c r="B121" s="154"/>
      <c r="C121" s="495"/>
      <c r="D121" s="6"/>
      <c r="E121" s="34"/>
      <c r="F121" s="6"/>
      <c r="G121" s="7"/>
      <c r="H121" s="6"/>
      <c r="I121" s="34"/>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12.75" x14ac:dyDescent="0.2">
      <c r="B122" s="154"/>
      <c r="C122" s="495" t="s">
        <v>51</v>
      </c>
      <c r="D122" s="6"/>
      <c r="E122" s="29">
        <f>$K$69/E120</f>
        <v>30.651428359726545</v>
      </c>
      <c r="F122" s="6"/>
      <c r="G122" s="29">
        <f>$K$69/G120</f>
        <v>27.58628552375389</v>
      </c>
      <c r="H122" s="6"/>
      <c r="I122" s="29">
        <f>$K$69/I120</f>
        <v>25.078441385230811</v>
      </c>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6" customHeight="1" x14ac:dyDescent="0.2">
      <c r="B123" s="154"/>
      <c r="C123" s="495"/>
      <c r="D123" s="6"/>
      <c r="E123" s="34"/>
      <c r="F123" s="6"/>
      <c r="G123" s="7"/>
      <c r="H123" s="6"/>
      <c r="I123" s="34"/>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12.75" x14ac:dyDescent="0.2">
      <c r="B124" s="154"/>
      <c r="C124" s="495" t="s">
        <v>52</v>
      </c>
      <c r="D124" s="6"/>
      <c r="E124" s="29">
        <f>$K$87/E120</f>
        <v>21.964347525095185</v>
      </c>
      <c r="F124" s="6"/>
      <c r="G124" s="29">
        <f>$K$87/G120</f>
        <v>19.767912772585671</v>
      </c>
      <c r="H124" s="6"/>
      <c r="I124" s="29">
        <f>$K$87/I120</f>
        <v>17.9708297932597</v>
      </c>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6" customHeight="1" x14ac:dyDescent="0.2">
      <c r="B125" s="154"/>
      <c r="C125" s="495"/>
      <c r="D125" s="6"/>
      <c r="E125" s="34"/>
      <c r="F125" s="6"/>
      <c r="G125" s="7"/>
      <c r="H125" s="6"/>
      <c r="I125" s="34"/>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12.75" x14ac:dyDescent="0.2">
      <c r="B126" s="154"/>
      <c r="C126" s="495" t="s">
        <v>61</v>
      </c>
      <c r="D126" s="6"/>
      <c r="E126" s="29">
        <f>$K$89/E120</f>
        <v>52.61577588482173</v>
      </c>
      <c r="F126" s="6"/>
      <c r="G126" s="29">
        <f>$K$89/G120</f>
        <v>47.354198296339561</v>
      </c>
      <c r="H126" s="6"/>
      <c r="I126" s="29">
        <f>$K$89/I120</f>
        <v>43.049271178490507</v>
      </c>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75" x14ac:dyDescent="0.2">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95" customHeight="1" x14ac:dyDescent="0.2">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2.95" customHeight="1" x14ac:dyDescent="0.2">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2.95" customHeight="1" x14ac:dyDescent="0.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2.95" customHeight="1" x14ac:dyDescent="0.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2.95" customHeight="1" x14ac:dyDescent="0.2">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2.95" customHeight="1" x14ac:dyDescent="0.2">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2.95" customHeight="1" x14ac:dyDescent="0.2">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2.95" customHeight="1" x14ac:dyDescent="0.2">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2.95" customHeight="1" x14ac:dyDescent="0.2">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2.95" customHeight="1" x14ac:dyDescent="0.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2.95" customHeight="1" x14ac:dyDescent="0.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2.95" customHeight="1" x14ac:dyDescent="0.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2.95" customHeight="1" x14ac:dyDescent="0.2">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2.95" customHeight="1" x14ac:dyDescent="0.2">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2.95" customHeight="1" x14ac:dyDescent="0.2">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2.95" customHeight="1" x14ac:dyDescent="0.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2.95" customHeight="1" x14ac:dyDescent="0.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2.95" customHeight="1" x14ac:dyDescent="0.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2.95" customHeight="1" x14ac:dyDescent="0.2">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2.95" customHeight="1" x14ac:dyDescent="0.2">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2.95" customHeight="1" x14ac:dyDescent="0.2">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2.95" customHeight="1" x14ac:dyDescent="0.2">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2.95" customHeight="1" x14ac:dyDescent="0.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2.95" customHeight="1" x14ac:dyDescent="0.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2.95" customHeight="1" x14ac:dyDescent="0.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2.95" customHeight="1" x14ac:dyDescent="0.2">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2.95" customHeight="1" x14ac:dyDescent="0.2">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2.95" customHeight="1" x14ac:dyDescent="0.2">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2.95" customHeight="1" x14ac:dyDescent="0.2">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2.95" customHeight="1" x14ac:dyDescent="0.2">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2.95" customHeight="1" x14ac:dyDescent="0.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2.95" customHeight="1" x14ac:dyDescent="0.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2.95" customHeight="1" x14ac:dyDescent="0.2">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2.95" customHeight="1" x14ac:dyDescent="0.2">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2.95" customHeight="1" x14ac:dyDescent="0.2">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2.95" customHeight="1" x14ac:dyDescent="0.2">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2.95" customHeight="1" x14ac:dyDescent="0.2">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2.95" customHeight="1" x14ac:dyDescent="0.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2.95" customHeight="1" x14ac:dyDescent="0.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2.95" customHeight="1" x14ac:dyDescent="0.2">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2.95" customHeight="1" x14ac:dyDescent="0.2">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2.95" customHeight="1" x14ac:dyDescent="0.2">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2.95" customHeight="1" x14ac:dyDescent="0.2">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2.95" customHeight="1" x14ac:dyDescent="0.2">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2.95" customHeight="1" x14ac:dyDescent="0.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2.95" customHeight="1" x14ac:dyDescent="0.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2.95" customHeight="1" x14ac:dyDescent="0.2">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2.95" customHeight="1" x14ac:dyDescent="0.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2.95" customHeight="1" x14ac:dyDescent="0.2">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2.95" customHeight="1" x14ac:dyDescent="0.2">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2.95" customHeight="1" x14ac:dyDescent="0.2">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2.95" customHeight="1" x14ac:dyDescent="0.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2.95" customHeight="1" x14ac:dyDescent="0.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2.95" customHeight="1" x14ac:dyDescent="0.2">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2.95" customHeight="1" x14ac:dyDescent="0.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2.95" customHeight="1" x14ac:dyDescent="0.2">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2.95" customHeight="1" x14ac:dyDescent="0.2">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2.95" customHeight="1" x14ac:dyDescent="0.2">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2.95" customHeight="1" x14ac:dyDescent="0.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2.95" customHeight="1" x14ac:dyDescent="0.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2.95" customHeight="1" x14ac:dyDescent="0.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2.95" customHeight="1" x14ac:dyDescent="0.2">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2.95" customHeight="1" x14ac:dyDescent="0.2">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2.95" customHeight="1" x14ac:dyDescent="0.2">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2.95" customHeight="1" x14ac:dyDescent="0.2">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2.95" customHeight="1" x14ac:dyDescent="0.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2.95" customHeight="1" x14ac:dyDescent="0.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2.95" customHeight="1" x14ac:dyDescent="0.2">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2.95" customHeight="1" x14ac:dyDescent="0.2">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2.95" customHeight="1" x14ac:dyDescent="0.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2.95" customHeight="1" x14ac:dyDescent="0.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2.95" customHeight="1" x14ac:dyDescent="0.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2.95" customHeight="1" x14ac:dyDescent="0.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2.95" customHeight="1" x14ac:dyDescent="0.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2.95" customHeight="1" x14ac:dyDescent="0.2">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2.95" customHeight="1" x14ac:dyDescent="0.2">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2.95" customHeight="1" x14ac:dyDescent="0.2">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2.95" customHeight="1" x14ac:dyDescent="0.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2.95" customHeight="1" x14ac:dyDescent="0.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2.95" customHeight="1" x14ac:dyDescent="0.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2.95" customHeight="1" x14ac:dyDescent="0.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2.95" customHeight="1" x14ac:dyDescent="0.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2.95" customHeight="1" x14ac:dyDescent="0.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2.95" customHeight="1" x14ac:dyDescent="0.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2.95" customHeight="1" x14ac:dyDescent="0.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2.95" customHeight="1" x14ac:dyDescent="0.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2.95" customHeight="1" x14ac:dyDescent="0.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2.95" customHeight="1" x14ac:dyDescent="0.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2.95" customHeight="1" x14ac:dyDescent="0.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2.95" customHeight="1" x14ac:dyDescent="0.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2.95" customHeight="1" x14ac:dyDescent="0.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2.95" customHeight="1" x14ac:dyDescent="0.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2.95" customHeight="1" x14ac:dyDescent="0.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2.95" customHeight="1" x14ac:dyDescent="0.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2.95" customHeight="1" x14ac:dyDescent="0.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2.95" customHeight="1" x14ac:dyDescent="0.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2.95" customHeight="1" x14ac:dyDescent="0.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2.95" customHeight="1" x14ac:dyDescent="0.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2.95" customHeight="1" x14ac:dyDescent="0.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2.95" customHeight="1" x14ac:dyDescent="0.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2.95" customHeight="1" x14ac:dyDescent="0.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2.95" customHeight="1" x14ac:dyDescent="0.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2.95" customHeight="1" x14ac:dyDescent="0.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2.95" customHeight="1" x14ac:dyDescent="0.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2.95" customHeight="1" x14ac:dyDescent="0.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2.95" customHeight="1" x14ac:dyDescent="0.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2.95" customHeight="1" x14ac:dyDescent="0.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2.95" customHeight="1" x14ac:dyDescent="0.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2.95" customHeight="1" x14ac:dyDescent="0.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2.95" customHeight="1" x14ac:dyDescent="0.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2.95" customHeight="1" x14ac:dyDescent="0.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2.95" customHeight="1" x14ac:dyDescent="0.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2.95" customHeight="1" x14ac:dyDescent="0.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2.95" customHeight="1" x14ac:dyDescent="0.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2.95" customHeight="1" x14ac:dyDescent="0.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2.95" customHeight="1" x14ac:dyDescent="0.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2.95" customHeight="1" x14ac:dyDescent="0.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2.95" customHeight="1" x14ac:dyDescent="0.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2.95" customHeight="1" x14ac:dyDescent="0.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2.95" customHeight="1" x14ac:dyDescent="0.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2.95" customHeight="1" x14ac:dyDescent="0.2">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2.95" customHeight="1" x14ac:dyDescent="0.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2.95" customHeight="1" x14ac:dyDescent="0.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2.95" customHeight="1" x14ac:dyDescent="0.2">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2.95" customHeight="1" x14ac:dyDescent="0.2">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2.95" customHeight="1" x14ac:dyDescent="0.2">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2.95" customHeight="1" x14ac:dyDescent="0.2">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2.95" customHeight="1" x14ac:dyDescent="0.2">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2.95" customHeight="1" x14ac:dyDescent="0.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2.95" customHeight="1" x14ac:dyDescent="0.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2.95" customHeight="1" x14ac:dyDescent="0.2">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2.95" customHeight="1" x14ac:dyDescent="0.2">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2.95" customHeight="1" x14ac:dyDescent="0.2">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2.95" customHeight="1" x14ac:dyDescent="0.2">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2.95" customHeight="1" x14ac:dyDescent="0.2">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2.95" customHeight="1" x14ac:dyDescent="0.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2.95" customHeight="1" x14ac:dyDescent="0.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2.95" customHeight="1" x14ac:dyDescent="0.2">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2.95" customHeight="1" x14ac:dyDescent="0.2">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2.95" customHeight="1" x14ac:dyDescent="0.2">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2.95" customHeight="1" x14ac:dyDescent="0.2">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2.95" customHeight="1" x14ac:dyDescent="0.2">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2.95" customHeight="1" x14ac:dyDescent="0.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2.95" customHeight="1" x14ac:dyDescent="0.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2.95" customHeight="1" x14ac:dyDescent="0.2">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2.95" customHeight="1" x14ac:dyDescent="0.2">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2.95" customHeight="1" x14ac:dyDescent="0.2">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2.95" customHeight="1" x14ac:dyDescent="0.2">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2.95" customHeight="1" x14ac:dyDescent="0.2">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2.95" customHeight="1" x14ac:dyDescent="0.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2.95" customHeight="1" x14ac:dyDescent="0.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2.95" customHeight="1" x14ac:dyDescent="0.2">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2.95" customHeight="1" x14ac:dyDescent="0.2">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2.95" customHeight="1" x14ac:dyDescent="0.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2.95" customHeight="1" x14ac:dyDescent="0.2">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2.95" customHeight="1" x14ac:dyDescent="0.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2.95" customHeight="1" x14ac:dyDescent="0.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2.95" customHeight="1" x14ac:dyDescent="0.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2.95" customHeight="1" x14ac:dyDescent="0.2">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2.95" customHeight="1" x14ac:dyDescent="0.2">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2.95" customHeight="1" x14ac:dyDescent="0.2">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2.95" customHeight="1" x14ac:dyDescent="0.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2.95" customHeight="1" x14ac:dyDescent="0.2">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2.95" customHeight="1" x14ac:dyDescent="0.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2.95" customHeight="1" x14ac:dyDescent="0.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2.95" customHeight="1" x14ac:dyDescent="0.2">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2.95" customHeight="1" x14ac:dyDescent="0.2">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2.95" customHeight="1" x14ac:dyDescent="0.2">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2.95" customHeight="1" x14ac:dyDescent="0.2">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2.95" customHeight="1" x14ac:dyDescent="0.2">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2.95" customHeight="1" x14ac:dyDescent="0.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2.95" customHeight="1" x14ac:dyDescent="0.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2.95" customHeight="1" x14ac:dyDescent="0.2">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2.95" customHeight="1" x14ac:dyDescent="0.2">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2.95" customHeight="1" x14ac:dyDescent="0.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2.95" customHeight="1" x14ac:dyDescent="0.2">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2.95" customHeight="1" x14ac:dyDescent="0.2">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2.95" customHeight="1" x14ac:dyDescent="0.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2.95" customHeight="1" x14ac:dyDescent="0.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2.95" customHeight="1" x14ac:dyDescent="0.2">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2.95" customHeight="1" x14ac:dyDescent="0.2">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2.95" customHeight="1" x14ac:dyDescent="0.2">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2.95" customHeight="1" x14ac:dyDescent="0.2">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2.95" customHeight="1" x14ac:dyDescent="0.2">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2.95" customHeight="1" x14ac:dyDescent="0.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2.95" customHeight="1" x14ac:dyDescent="0.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2.95" customHeight="1" x14ac:dyDescent="0.2">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2.95" customHeight="1" x14ac:dyDescent="0.2">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2.95" customHeight="1" x14ac:dyDescent="0.2">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2.95" customHeight="1" x14ac:dyDescent="0.2">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2.95" customHeight="1" x14ac:dyDescent="0.2">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2.95" customHeight="1" x14ac:dyDescent="0.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2.95" customHeight="1" x14ac:dyDescent="0.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2.95" customHeight="1" x14ac:dyDescent="0.2">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2.95" customHeight="1" x14ac:dyDescent="0.2">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2.95" customHeight="1" x14ac:dyDescent="0.2">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2.95" customHeight="1" x14ac:dyDescent="0.2">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2.95" customHeight="1" x14ac:dyDescent="0.2">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2.95" customHeight="1" x14ac:dyDescent="0.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2.95" customHeight="1" x14ac:dyDescent="0.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2.95" customHeight="1" x14ac:dyDescent="0.2">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2.95" customHeight="1" x14ac:dyDescent="0.2">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2.95" customHeight="1" x14ac:dyDescent="0.2">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2.95" customHeight="1" x14ac:dyDescent="0.2">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2.95" customHeight="1" x14ac:dyDescent="0.2">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2.95" customHeight="1" x14ac:dyDescent="0.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2.95" customHeight="1" x14ac:dyDescent="0.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2.95" customHeight="1" x14ac:dyDescent="0.2">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2.95" customHeight="1" x14ac:dyDescent="0.2">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2.95" customHeight="1" x14ac:dyDescent="0.2">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2.95" customHeight="1" x14ac:dyDescent="0.2">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2.95" customHeight="1" x14ac:dyDescent="0.2">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2.95" customHeight="1" x14ac:dyDescent="0.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2.95" customHeight="1" x14ac:dyDescent="0.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2.95" customHeight="1" x14ac:dyDescent="0.2">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2.95" customHeight="1" x14ac:dyDescent="0.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2.95" customHeight="1" x14ac:dyDescent="0.2">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2.95" customHeight="1" x14ac:dyDescent="0.2">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2.95" customHeight="1" x14ac:dyDescent="0.2">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2.95" customHeight="1" x14ac:dyDescent="0.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2.95" customHeight="1" x14ac:dyDescent="0.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2.95" customHeight="1" x14ac:dyDescent="0.2">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2.95" customHeight="1" x14ac:dyDescent="0.2">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2.95" customHeight="1" x14ac:dyDescent="0.2">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2.95" customHeight="1" x14ac:dyDescent="0.2">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2.95" customHeight="1" x14ac:dyDescent="0.2">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2.95" customHeight="1" x14ac:dyDescent="0.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2.95" customHeight="1" x14ac:dyDescent="0.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2.95" customHeight="1" x14ac:dyDescent="0.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2.95" customHeight="1" x14ac:dyDescent="0.2">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2.95" customHeight="1" x14ac:dyDescent="0.2">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2.95" customHeight="1" x14ac:dyDescent="0.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2.95" customHeight="1" x14ac:dyDescent="0.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2.95" customHeight="1" x14ac:dyDescent="0.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2.95" customHeight="1" x14ac:dyDescent="0.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2.95" customHeight="1" x14ac:dyDescent="0.2">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2.95" customHeight="1" x14ac:dyDescent="0.2">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2.95" customHeight="1" x14ac:dyDescent="0.2">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2.95" customHeight="1" x14ac:dyDescent="0.2">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2.95" customHeight="1" x14ac:dyDescent="0.2">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2.95" customHeight="1" x14ac:dyDescent="0.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2.95" customHeight="1" x14ac:dyDescent="0.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2.95" customHeight="1" x14ac:dyDescent="0.2">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2.95" customHeight="1" x14ac:dyDescent="0.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2.95" customHeight="1" x14ac:dyDescent="0.2">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2.95" customHeight="1" x14ac:dyDescent="0.2">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2.95" customHeight="1" x14ac:dyDescent="0.2">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2.95" customHeight="1" x14ac:dyDescent="0.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2.95" customHeight="1" x14ac:dyDescent="0.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2.95" customHeight="1" x14ac:dyDescent="0.2">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2.95" customHeight="1" x14ac:dyDescent="0.2">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2.95" customHeight="1" x14ac:dyDescent="0.2">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2.95" customHeight="1" x14ac:dyDescent="0.2">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2.95" customHeight="1" x14ac:dyDescent="0.2">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2.95" customHeight="1" x14ac:dyDescent="0.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2.95" customHeight="1" x14ac:dyDescent="0.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2.95" customHeight="1" x14ac:dyDescent="0.2">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2.95" customHeight="1" x14ac:dyDescent="0.2">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2.95" customHeight="1" x14ac:dyDescent="0.2">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2.95" customHeight="1" x14ac:dyDescent="0.2">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2.95" customHeight="1" x14ac:dyDescent="0.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2.95" customHeight="1" x14ac:dyDescent="0.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2.95" customHeight="1" x14ac:dyDescent="0.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2.95" customHeight="1" x14ac:dyDescent="0.2">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2.95" customHeight="1" x14ac:dyDescent="0.2">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2.95" customHeight="1" x14ac:dyDescent="0.2">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2.95" customHeight="1" x14ac:dyDescent="0.2">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2.95" customHeight="1" x14ac:dyDescent="0.2">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2.95" customHeight="1" x14ac:dyDescent="0.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2.95" customHeight="1" x14ac:dyDescent="0.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2.95" customHeight="1" x14ac:dyDescent="0.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2.95" customHeight="1" x14ac:dyDescent="0.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2.95" customHeight="1" x14ac:dyDescent="0.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2.95" customHeight="1" x14ac:dyDescent="0.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2.95" customHeight="1" x14ac:dyDescent="0.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2.95" customHeight="1" x14ac:dyDescent="0.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2.95" customHeight="1" x14ac:dyDescent="0.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2.95" customHeight="1" x14ac:dyDescent="0.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2.95" customHeight="1" x14ac:dyDescent="0.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2.95" customHeight="1" x14ac:dyDescent="0.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2.95" customHeight="1" x14ac:dyDescent="0.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2.95" customHeight="1" x14ac:dyDescent="0.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2.95" customHeight="1" x14ac:dyDescent="0.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2.95" customHeight="1" x14ac:dyDescent="0.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2.95" customHeight="1" x14ac:dyDescent="0.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2.95" customHeight="1" x14ac:dyDescent="0.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2.95" customHeight="1" x14ac:dyDescent="0.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2.95" customHeight="1" x14ac:dyDescent="0.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2.95" customHeight="1" x14ac:dyDescent="0.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2.95" customHeight="1" x14ac:dyDescent="0.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2.95" customHeight="1" x14ac:dyDescent="0.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2.95" customHeight="1" x14ac:dyDescent="0.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2.95" customHeight="1" x14ac:dyDescent="0.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2.95" customHeight="1" x14ac:dyDescent="0.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2.95" customHeight="1" x14ac:dyDescent="0.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2.95" customHeight="1" x14ac:dyDescent="0.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2.95" customHeight="1" x14ac:dyDescent="0.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2.95" customHeight="1" x14ac:dyDescent="0.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2.95" customHeight="1" x14ac:dyDescent="0.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2.95" customHeight="1" x14ac:dyDescent="0.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2.95" customHeight="1" x14ac:dyDescent="0.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2.95" customHeight="1" x14ac:dyDescent="0.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2.95" customHeight="1" x14ac:dyDescent="0.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2.95" customHeight="1" x14ac:dyDescent="0.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2.95" customHeight="1" x14ac:dyDescent="0.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2.95" customHeight="1" x14ac:dyDescent="0.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2.95" customHeight="1" x14ac:dyDescent="0.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2.95" customHeight="1" x14ac:dyDescent="0.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2.95" customHeight="1" x14ac:dyDescent="0.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2.95" customHeight="1" x14ac:dyDescent="0.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2.95" customHeight="1" x14ac:dyDescent="0.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2.95" customHeight="1" x14ac:dyDescent="0.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2.95" customHeight="1" x14ac:dyDescent="0.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2.95" customHeight="1" x14ac:dyDescent="0.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2.95" customHeight="1" x14ac:dyDescent="0.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2.95" customHeight="1" x14ac:dyDescent="0.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2.95" customHeight="1" x14ac:dyDescent="0.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2.95" customHeight="1" x14ac:dyDescent="0.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2.95" customHeight="1" x14ac:dyDescent="0.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2.95" customHeight="1" x14ac:dyDescent="0.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2.95" customHeight="1" x14ac:dyDescent="0.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2.95" customHeight="1" x14ac:dyDescent="0.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2.95" customHeight="1" x14ac:dyDescent="0.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2.95" customHeight="1" x14ac:dyDescent="0.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2.95" customHeight="1" x14ac:dyDescent="0.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2.95" customHeight="1" x14ac:dyDescent="0.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2.95" customHeight="1" x14ac:dyDescent="0.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2.95" customHeight="1" x14ac:dyDescent="0.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2.95" customHeight="1" x14ac:dyDescent="0.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2.95" customHeight="1" x14ac:dyDescent="0.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2.95" customHeight="1" x14ac:dyDescent="0.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2.95" customHeight="1" x14ac:dyDescent="0.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2.95" customHeight="1" x14ac:dyDescent="0.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2.95" customHeight="1" x14ac:dyDescent="0.2">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2.95" customHeight="1" x14ac:dyDescent="0.2">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2.95" customHeight="1" x14ac:dyDescent="0.2">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2.95" customHeight="1" x14ac:dyDescent="0.2">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2.95" customHeight="1" x14ac:dyDescent="0.2">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2.95" customHeight="1" x14ac:dyDescent="0.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2.95" customHeight="1" x14ac:dyDescent="0.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2.95" customHeight="1" x14ac:dyDescent="0.2">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2.95" customHeight="1" x14ac:dyDescent="0.2">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2.95" customHeight="1" x14ac:dyDescent="0.2">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2.95" customHeight="1" x14ac:dyDescent="0.2">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2.95" customHeight="1" x14ac:dyDescent="0.2">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2.95" customHeight="1" x14ac:dyDescent="0.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2.95" customHeight="1" x14ac:dyDescent="0.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2.95" customHeight="1" x14ac:dyDescent="0.2">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2.95" customHeight="1" x14ac:dyDescent="0.2">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2.95" customHeight="1" x14ac:dyDescent="0.2">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2.95" customHeight="1" x14ac:dyDescent="0.2">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2.95" customHeight="1" x14ac:dyDescent="0.2">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2.95" customHeight="1" x14ac:dyDescent="0.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2.95" customHeight="1" x14ac:dyDescent="0.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2.95" customHeight="1" x14ac:dyDescent="0.2">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2.95" customHeight="1" x14ac:dyDescent="0.2">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2.95" customHeight="1" x14ac:dyDescent="0.2">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2.95" customHeight="1" x14ac:dyDescent="0.2">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2.95" customHeight="1" x14ac:dyDescent="0.2">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2.95" customHeight="1" x14ac:dyDescent="0.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2.95" customHeight="1" x14ac:dyDescent="0.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2.95" customHeight="1" x14ac:dyDescent="0.2">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2.95" customHeight="1" x14ac:dyDescent="0.2">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2.95" customHeight="1" x14ac:dyDescent="0.2">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2.95" customHeight="1" x14ac:dyDescent="0.2">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2.95" customHeight="1" x14ac:dyDescent="0.2">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2.95" customHeight="1" x14ac:dyDescent="0.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2.95" customHeight="1" x14ac:dyDescent="0.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2.95" customHeight="1" x14ac:dyDescent="0.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2.95" customHeight="1" x14ac:dyDescent="0.2">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2.95" customHeight="1" x14ac:dyDescent="0.2">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2.95" customHeight="1" x14ac:dyDescent="0.2">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2.95" customHeight="1" x14ac:dyDescent="0.2">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2.95" customHeight="1" x14ac:dyDescent="0.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2.95" customHeight="1" x14ac:dyDescent="0.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2.95" customHeight="1" x14ac:dyDescent="0.2">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2.95" customHeight="1" x14ac:dyDescent="0.2">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2.95" customHeight="1" x14ac:dyDescent="0.2">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2.95" customHeight="1" x14ac:dyDescent="0.2">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2.95" customHeight="1" x14ac:dyDescent="0.2">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2.95" customHeight="1" x14ac:dyDescent="0.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2.95" customHeight="1" x14ac:dyDescent="0.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2.95" customHeight="1" x14ac:dyDescent="0.2">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2.95" customHeight="1" x14ac:dyDescent="0.2">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2.95" customHeight="1" x14ac:dyDescent="0.2">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2.95" customHeight="1" x14ac:dyDescent="0.2">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2.95" customHeight="1" x14ac:dyDescent="0.2">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2.95" customHeight="1" x14ac:dyDescent="0.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2.95" customHeight="1" x14ac:dyDescent="0.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2.95" customHeight="1" x14ac:dyDescent="0.2">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2.95" customHeight="1" x14ac:dyDescent="0.2">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2.95" customHeight="1" x14ac:dyDescent="0.2">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2.95" customHeight="1" x14ac:dyDescent="0.2">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2.95" customHeight="1" x14ac:dyDescent="0.2">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2.95" customHeight="1" x14ac:dyDescent="0.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2.95" customHeight="1" x14ac:dyDescent="0.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2.95" customHeight="1" x14ac:dyDescent="0.2">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2.95" customHeight="1" x14ac:dyDescent="0.2">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2.95" customHeight="1" x14ac:dyDescent="0.2">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2.95" customHeight="1" x14ac:dyDescent="0.2">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2.95" customHeight="1" x14ac:dyDescent="0.2">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2.95" customHeight="1" x14ac:dyDescent="0.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2.95" customHeight="1" x14ac:dyDescent="0.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2.95" customHeight="1" x14ac:dyDescent="0.2">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2.95" customHeight="1" x14ac:dyDescent="0.2">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2.95" customHeight="1" x14ac:dyDescent="0.2">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2.95" customHeight="1" x14ac:dyDescent="0.2">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2.95" customHeight="1" x14ac:dyDescent="0.2">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2.95" customHeight="1" x14ac:dyDescent="0.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2.95" customHeight="1" x14ac:dyDescent="0.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2.95" customHeight="1" x14ac:dyDescent="0.2">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2.95" customHeight="1" x14ac:dyDescent="0.2">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2.95" customHeight="1" x14ac:dyDescent="0.2">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2.95" customHeight="1" x14ac:dyDescent="0.2">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2.95" customHeight="1" x14ac:dyDescent="0.2">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2.95" customHeight="1" x14ac:dyDescent="0.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2.95" customHeight="1" x14ac:dyDescent="0.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2.95" customHeight="1" x14ac:dyDescent="0.2">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2.95" customHeight="1" x14ac:dyDescent="0.2">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2.95" customHeight="1" x14ac:dyDescent="0.2">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2.95" customHeight="1" x14ac:dyDescent="0.2">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2.95" customHeight="1" x14ac:dyDescent="0.2">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2.95" customHeight="1" x14ac:dyDescent="0.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2.95" customHeight="1" x14ac:dyDescent="0.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2.95" customHeight="1" x14ac:dyDescent="0.2">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2.95" customHeight="1" x14ac:dyDescent="0.2">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2.95" customHeight="1" x14ac:dyDescent="0.2">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2.95" customHeight="1" x14ac:dyDescent="0.2">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2.95" customHeight="1" x14ac:dyDescent="0.2">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2.95" customHeight="1" x14ac:dyDescent="0.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2.95" customHeight="1" x14ac:dyDescent="0.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2.95" customHeight="1" x14ac:dyDescent="0.2">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2.95" customHeight="1" x14ac:dyDescent="0.2">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2.95" customHeight="1" x14ac:dyDescent="0.2">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2.95" customHeight="1" x14ac:dyDescent="0.2">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2.95" customHeight="1" x14ac:dyDescent="0.2">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2.95" customHeight="1" x14ac:dyDescent="0.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2.95" customHeight="1" x14ac:dyDescent="0.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2.95" customHeight="1" x14ac:dyDescent="0.2">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2.95" customHeight="1" x14ac:dyDescent="0.2">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2.95" customHeight="1" x14ac:dyDescent="0.2">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2.95" customHeight="1" x14ac:dyDescent="0.2">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2.95" customHeight="1" x14ac:dyDescent="0.2">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2.95" customHeight="1" x14ac:dyDescent="0.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2.95" customHeight="1" x14ac:dyDescent="0.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2.95" customHeight="1" x14ac:dyDescent="0.2">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2.95" customHeight="1" x14ac:dyDescent="0.2">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2.95" customHeight="1" x14ac:dyDescent="0.2">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2.95" customHeight="1" x14ac:dyDescent="0.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2.95" customHeight="1" x14ac:dyDescent="0.2">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2.95" customHeight="1" x14ac:dyDescent="0.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2.95" customHeight="1" x14ac:dyDescent="0.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2.95" customHeight="1" x14ac:dyDescent="0.2">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2.95" customHeight="1" x14ac:dyDescent="0.2">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2.95" customHeight="1" x14ac:dyDescent="0.2">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2.95" customHeight="1" x14ac:dyDescent="0.2">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2.95" customHeight="1" x14ac:dyDescent="0.2">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2.95" customHeight="1" x14ac:dyDescent="0.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2.95" customHeight="1" x14ac:dyDescent="0.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2.95" customHeight="1" x14ac:dyDescent="0.2">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2.95" customHeight="1" x14ac:dyDescent="0.2">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2.95" customHeight="1" x14ac:dyDescent="0.2">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2.95" customHeight="1" x14ac:dyDescent="0.2">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2.95" customHeight="1" x14ac:dyDescent="0.2">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2.95" customHeight="1" x14ac:dyDescent="0.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2.95" customHeight="1" x14ac:dyDescent="0.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2.95" customHeight="1" x14ac:dyDescent="0.2">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2.95" customHeight="1" x14ac:dyDescent="0.2">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2.95" customHeight="1" x14ac:dyDescent="0.2">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2.95" customHeight="1" x14ac:dyDescent="0.2">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2.95" customHeight="1" x14ac:dyDescent="0.2">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2.95" customHeight="1" x14ac:dyDescent="0.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2.95" customHeight="1" x14ac:dyDescent="0.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2.95" customHeight="1" x14ac:dyDescent="0.2">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2.95" customHeight="1" x14ac:dyDescent="0.2">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2.95" customHeight="1" x14ac:dyDescent="0.2">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2.95" customHeight="1" x14ac:dyDescent="0.2">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2.95" customHeight="1" x14ac:dyDescent="0.2">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2.95" customHeight="1" x14ac:dyDescent="0.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2.95" customHeight="1" x14ac:dyDescent="0.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2.95" customHeight="1" x14ac:dyDescent="0.2">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2.95" customHeight="1" x14ac:dyDescent="0.2">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2.95" customHeight="1" x14ac:dyDescent="0.2">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2.95" customHeight="1" x14ac:dyDescent="0.2">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2.95" customHeight="1" x14ac:dyDescent="0.2">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2.95" customHeight="1" x14ac:dyDescent="0.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2.95" customHeight="1" x14ac:dyDescent="0.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2.95" customHeight="1" x14ac:dyDescent="0.2">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2.95" customHeight="1" x14ac:dyDescent="0.2">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2.95" customHeight="1" x14ac:dyDescent="0.2">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2.95" customHeight="1" x14ac:dyDescent="0.2">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2.95" customHeight="1" x14ac:dyDescent="0.2">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2.95" customHeight="1" x14ac:dyDescent="0.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2.95" customHeight="1" x14ac:dyDescent="0.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2.95" customHeight="1" x14ac:dyDescent="0.2">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2.95" customHeight="1" x14ac:dyDescent="0.2">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2.95" customHeight="1" x14ac:dyDescent="0.2">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2.95" customHeight="1" x14ac:dyDescent="0.2">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2.95" customHeight="1" x14ac:dyDescent="0.2">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2.95" customHeight="1" x14ac:dyDescent="0.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2.95" customHeight="1" x14ac:dyDescent="0.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2.95" customHeight="1" x14ac:dyDescent="0.2">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2.95" customHeight="1" x14ac:dyDescent="0.2">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2.95" customHeight="1" x14ac:dyDescent="0.2">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2.95" customHeight="1" x14ac:dyDescent="0.2">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2.95" customHeight="1" x14ac:dyDescent="0.2">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2.95" customHeight="1" x14ac:dyDescent="0.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2.95" customHeight="1" x14ac:dyDescent="0.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2.95" customHeight="1" x14ac:dyDescent="0.2">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2.95" customHeight="1" x14ac:dyDescent="0.2">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2.95" customHeight="1" x14ac:dyDescent="0.2">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2.95" customHeight="1" x14ac:dyDescent="0.2">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2.95" customHeight="1" x14ac:dyDescent="0.2">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2.95" customHeight="1" x14ac:dyDescent="0.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2.95" customHeight="1" x14ac:dyDescent="0.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2.95" customHeight="1" x14ac:dyDescent="0.2">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2.95" customHeight="1" x14ac:dyDescent="0.2">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2.95" customHeight="1" x14ac:dyDescent="0.2">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2.95" customHeight="1" x14ac:dyDescent="0.2">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2.95" customHeight="1" x14ac:dyDescent="0.2">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2.95" customHeight="1" x14ac:dyDescent="0.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2.95" customHeight="1" x14ac:dyDescent="0.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2.95" customHeight="1" x14ac:dyDescent="0.2">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2.95" customHeight="1" x14ac:dyDescent="0.2">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2.95" customHeight="1" x14ac:dyDescent="0.2">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2.95" customHeight="1" x14ac:dyDescent="0.2">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2.95" customHeight="1" x14ac:dyDescent="0.2">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2.95" customHeight="1" x14ac:dyDescent="0.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2.95" customHeight="1" x14ac:dyDescent="0.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2.95" customHeight="1" x14ac:dyDescent="0.2">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2.95" customHeight="1" x14ac:dyDescent="0.2">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2.95" customHeight="1" x14ac:dyDescent="0.2">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2.95" customHeight="1" x14ac:dyDescent="0.2">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2.95" customHeight="1" x14ac:dyDescent="0.2">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2.95" customHeight="1" x14ac:dyDescent="0.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2.95" customHeight="1" x14ac:dyDescent="0.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2.95" customHeight="1" x14ac:dyDescent="0.2">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2.95" customHeight="1" x14ac:dyDescent="0.2">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2.95" customHeight="1" x14ac:dyDescent="0.2">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2.95" customHeight="1" x14ac:dyDescent="0.2">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2.95" customHeight="1" x14ac:dyDescent="0.2">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2.95" customHeight="1" x14ac:dyDescent="0.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2.95" customHeight="1" x14ac:dyDescent="0.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2.95" customHeight="1" x14ac:dyDescent="0.2">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2.95" customHeight="1" x14ac:dyDescent="0.2">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2.95" customHeight="1" x14ac:dyDescent="0.2">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2.95" customHeight="1" x14ac:dyDescent="0.2">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2.95" customHeight="1" x14ac:dyDescent="0.2">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2.95" customHeight="1" x14ac:dyDescent="0.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2.95" customHeight="1" x14ac:dyDescent="0.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2.95" customHeight="1" x14ac:dyDescent="0.2">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2.95" customHeight="1" x14ac:dyDescent="0.2">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2.95" customHeight="1" x14ac:dyDescent="0.2">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2.95" customHeight="1" x14ac:dyDescent="0.2">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2.95" customHeight="1" x14ac:dyDescent="0.2">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2.95" customHeight="1" x14ac:dyDescent="0.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2.95" customHeight="1" x14ac:dyDescent="0.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2.95" customHeight="1" x14ac:dyDescent="0.2">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2.95" customHeight="1" x14ac:dyDescent="0.2">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2.95" customHeight="1" x14ac:dyDescent="0.2">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2.95" customHeight="1" x14ac:dyDescent="0.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2.95" customHeight="1" x14ac:dyDescent="0.2">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2.95" customHeight="1" x14ac:dyDescent="0.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2.95" customHeight="1" x14ac:dyDescent="0.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2.95" customHeight="1" x14ac:dyDescent="0.2">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2.95" customHeight="1" x14ac:dyDescent="0.2">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2.95" customHeight="1" x14ac:dyDescent="0.2">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2.95" customHeight="1" x14ac:dyDescent="0.2">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2.95" customHeight="1" x14ac:dyDescent="0.2">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2.95" customHeight="1" x14ac:dyDescent="0.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2.95" customHeight="1" x14ac:dyDescent="0.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2.95" customHeight="1" x14ac:dyDescent="0.2">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2.95" customHeight="1" x14ac:dyDescent="0.2">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2.95" customHeight="1" x14ac:dyDescent="0.2">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2.95" customHeight="1" x14ac:dyDescent="0.2">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2.95" customHeight="1" x14ac:dyDescent="0.2">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2.95" customHeight="1" x14ac:dyDescent="0.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2.95" customHeight="1" x14ac:dyDescent="0.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2.95" customHeight="1" x14ac:dyDescent="0.2">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2.95" customHeight="1" x14ac:dyDescent="0.2">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2.95" customHeight="1" x14ac:dyDescent="0.2">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2.95" customHeight="1" x14ac:dyDescent="0.2">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2.95" customHeight="1" x14ac:dyDescent="0.2">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2.95" customHeight="1" x14ac:dyDescent="0.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2.95" customHeight="1" x14ac:dyDescent="0.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2.95" customHeight="1" x14ac:dyDescent="0.2">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2.95" customHeight="1" x14ac:dyDescent="0.2">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2.95" customHeight="1" x14ac:dyDescent="0.2">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2.95" customHeight="1" x14ac:dyDescent="0.2">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2.95" customHeight="1" x14ac:dyDescent="0.2">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2.95" customHeight="1" x14ac:dyDescent="0.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2.95" customHeight="1" x14ac:dyDescent="0.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2.95" customHeight="1" x14ac:dyDescent="0.2">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2.95" customHeight="1" x14ac:dyDescent="0.2">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2.95" customHeight="1" x14ac:dyDescent="0.2">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2.95" customHeight="1" x14ac:dyDescent="0.2">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2.95" customHeight="1" x14ac:dyDescent="0.2">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2.95" customHeight="1" x14ac:dyDescent="0.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2.95" customHeight="1" x14ac:dyDescent="0.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2.95" customHeight="1" x14ac:dyDescent="0.2">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2.95" customHeight="1" x14ac:dyDescent="0.2">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2.95" customHeight="1" x14ac:dyDescent="0.2">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2.95" customHeight="1" x14ac:dyDescent="0.2">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2.95" customHeight="1" x14ac:dyDescent="0.2">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2.95" customHeight="1" x14ac:dyDescent="0.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2.95" customHeight="1" x14ac:dyDescent="0.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2.95" customHeight="1" x14ac:dyDescent="0.2">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2.95" customHeight="1" x14ac:dyDescent="0.2">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2.95" customHeight="1" x14ac:dyDescent="0.2">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2.95" customHeight="1" x14ac:dyDescent="0.2">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2.95" customHeight="1" x14ac:dyDescent="0.2">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2.95" customHeight="1" x14ac:dyDescent="0.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2.95" customHeight="1" x14ac:dyDescent="0.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2.95" customHeight="1" x14ac:dyDescent="0.2">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2.95" customHeight="1" x14ac:dyDescent="0.2">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2.95" customHeight="1" x14ac:dyDescent="0.2">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2.95" customHeight="1" x14ac:dyDescent="0.2">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2.95" customHeight="1" x14ac:dyDescent="0.2">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2.95" customHeight="1" x14ac:dyDescent="0.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2.95" customHeight="1" x14ac:dyDescent="0.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2.95" customHeight="1" x14ac:dyDescent="0.2">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2.95" customHeight="1" x14ac:dyDescent="0.2">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2.95" customHeight="1" x14ac:dyDescent="0.2">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2.95" customHeight="1" x14ac:dyDescent="0.2">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2.95" customHeight="1" x14ac:dyDescent="0.2">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2.95" customHeight="1" x14ac:dyDescent="0.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2.95" customHeight="1" x14ac:dyDescent="0.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2.95" customHeight="1" x14ac:dyDescent="0.2">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2.95" customHeight="1" x14ac:dyDescent="0.2">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2.95" customHeight="1" x14ac:dyDescent="0.2">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2.95" customHeight="1" x14ac:dyDescent="0.2">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2.95" customHeight="1" x14ac:dyDescent="0.2">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2.95" customHeight="1" x14ac:dyDescent="0.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2.95" customHeight="1" x14ac:dyDescent="0.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2.95" customHeight="1" x14ac:dyDescent="0.2">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2.95" customHeight="1" x14ac:dyDescent="0.2">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2.95" customHeight="1" x14ac:dyDescent="0.2">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2.95" customHeight="1" x14ac:dyDescent="0.2">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2.95" customHeight="1" x14ac:dyDescent="0.2">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2.95" customHeight="1" x14ac:dyDescent="0.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2.95" customHeight="1" x14ac:dyDescent="0.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2.95" customHeight="1" x14ac:dyDescent="0.2">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2.95" customHeight="1" x14ac:dyDescent="0.2">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2.95" customHeight="1" x14ac:dyDescent="0.2">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2.95" customHeight="1" x14ac:dyDescent="0.2">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2.95" customHeight="1" x14ac:dyDescent="0.2">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2.95" customHeight="1" x14ac:dyDescent="0.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2.95" customHeight="1" x14ac:dyDescent="0.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2.95" customHeight="1" x14ac:dyDescent="0.2">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2.95" customHeight="1" x14ac:dyDescent="0.2">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2.95" customHeight="1" x14ac:dyDescent="0.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2.95" customHeight="1" x14ac:dyDescent="0.2">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2.95" customHeight="1" x14ac:dyDescent="0.2">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2.95" customHeight="1" x14ac:dyDescent="0.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2.95" customHeight="1" x14ac:dyDescent="0.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2.95" customHeight="1" x14ac:dyDescent="0.2">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2.95" customHeight="1" x14ac:dyDescent="0.2">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2.95" customHeight="1" x14ac:dyDescent="0.2">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2.95" customHeight="1" x14ac:dyDescent="0.2">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2.95" customHeight="1" x14ac:dyDescent="0.2">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2.95" customHeight="1" x14ac:dyDescent="0.2">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2.95" customHeight="1" x14ac:dyDescent="0.2">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2.95" customHeight="1" x14ac:dyDescent="0.2">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2.95" customHeight="1" x14ac:dyDescent="0.2">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2.95" customHeight="1" x14ac:dyDescent="0.2">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2.95" customHeight="1" x14ac:dyDescent="0.2">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2.95" customHeight="1" x14ac:dyDescent="0.2">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2.95" customHeight="1" x14ac:dyDescent="0.2">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2.95" customHeight="1" x14ac:dyDescent="0.2">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2.95" customHeight="1" x14ac:dyDescent="0.2">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2.95" customHeight="1" x14ac:dyDescent="0.2">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2.95" customHeight="1" x14ac:dyDescent="0.2">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2.95" customHeight="1" x14ac:dyDescent="0.2">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2.95" customHeight="1" x14ac:dyDescent="0.2">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2.95" customHeight="1" x14ac:dyDescent="0.2">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2.95" customHeight="1" x14ac:dyDescent="0.2">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2.95" customHeight="1" x14ac:dyDescent="0.2">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2.95" customHeight="1" x14ac:dyDescent="0.2">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2.95" customHeight="1" x14ac:dyDescent="0.2">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2.95" customHeight="1" x14ac:dyDescent="0.2">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2.95" customHeight="1" x14ac:dyDescent="0.2">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2.95" customHeight="1" x14ac:dyDescent="0.2">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2.95" customHeight="1" x14ac:dyDescent="0.2">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2.95" customHeight="1" x14ac:dyDescent="0.2">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2.95" customHeight="1" x14ac:dyDescent="0.2">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2.95" customHeight="1" x14ac:dyDescent="0.2">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2.95" customHeight="1" x14ac:dyDescent="0.2">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2.95" customHeight="1" x14ac:dyDescent="0.2">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2.95" customHeight="1" x14ac:dyDescent="0.2">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2.95" customHeight="1" x14ac:dyDescent="0.2">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2.95" customHeight="1" x14ac:dyDescent="0.2">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2.95" customHeight="1" x14ac:dyDescent="0.2">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2.95" customHeight="1" x14ac:dyDescent="0.2">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2.95" customHeight="1" x14ac:dyDescent="0.2">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2.95" customHeight="1" x14ac:dyDescent="0.2">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2.95" customHeight="1" x14ac:dyDescent="0.2">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2.95" customHeight="1" x14ac:dyDescent="0.2">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2.95" customHeight="1" x14ac:dyDescent="0.2">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2.95" customHeight="1" x14ac:dyDescent="0.2">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2.95" customHeight="1" x14ac:dyDescent="0.2">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2.95" customHeight="1" x14ac:dyDescent="0.2">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2.95" customHeight="1" x14ac:dyDescent="0.2">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2.95" customHeight="1" x14ac:dyDescent="0.2">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2.95" customHeight="1" x14ac:dyDescent="0.2">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2.95" customHeight="1" x14ac:dyDescent="0.2">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2.95" customHeight="1" x14ac:dyDescent="0.2">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2.95" customHeight="1" x14ac:dyDescent="0.2">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2.95" customHeight="1" x14ac:dyDescent="0.2">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2.95" customHeight="1" x14ac:dyDescent="0.2">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2.95" customHeight="1" x14ac:dyDescent="0.2">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2.95" customHeight="1" x14ac:dyDescent="0.2">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2.95" customHeight="1" x14ac:dyDescent="0.2">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2.95" customHeight="1" x14ac:dyDescent="0.2">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2.95" customHeight="1" x14ac:dyDescent="0.2">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2.95" customHeight="1" x14ac:dyDescent="0.2">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2.95" customHeight="1" x14ac:dyDescent="0.2">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2.95" customHeight="1" x14ac:dyDescent="0.2">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2.95" customHeight="1" x14ac:dyDescent="0.2">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2.95" customHeight="1" x14ac:dyDescent="0.2">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2.95" customHeight="1" x14ac:dyDescent="0.2">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2.95" customHeight="1" x14ac:dyDescent="0.2">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2.95" customHeight="1" x14ac:dyDescent="0.2">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2.95" customHeight="1" x14ac:dyDescent="0.2">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2.95" customHeight="1" x14ac:dyDescent="0.2">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2.95" customHeight="1" x14ac:dyDescent="0.2">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2.95" customHeight="1" x14ac:dyDescent="0.2">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2.95" customHeight="1" x14ac:dyDescent="0.2">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2.95" customHeight="1" x14ac:dyDescent="0.2">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2.95" customHeight="1" x14ac:dyDescent="0.2">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2.95" customHeight="1" x14ac:dyDescent="0.2">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2.95" customHeight="1" x14ac:dyDescent="0.2">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2.95" customHeight="1" x14ac:dyDescent="0.2">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2.95" customHeight="1" x14ac:dyDescent="0.2">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2.95" customHeight="1" x14ac:dyDescent="0.2">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2.95" customHeight="1" x14ac:dyDescent="0.2">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2.95" customHeight="1" x14ac:dyDescent="0.2">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2.95" customHeight="1" x14ac:dyDescent="0.2">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2.95" customHeight="1" x14ac:dyDescent="0.2">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2.95" customHeight="1" x14ac:dyDescent="0.2">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sheetData>
  <mergeCells count="15">
    <mergeCell ref="C78:E78"/>
    <mergeCell ref="C4:K4"/>
    <mergeCell ref="C99:K99"/>
    <mergeCell ref="C6:K6"/>
    <mergeCell ref="C10:L10"/>
    <mergeCell ref="C74:E74"/>
    <mergeCell ref="C75:E75"/>
    <mergeCell ref="C76:E76"/>
    <mergeCell ref="C95:K95"/>
    <mergeCell ref="C96:K96"/>
    <mergeCell ref="C97:K97"/>
    <mergeCell ref="C98:K98"/>
    <mergeCell ref="C83:E83"/>
    <mergeCell ref="C84:E84"/>
    <mergeCell ref="C85:E85"/>
  </mergeCells>
  <hyperlinks>
    <hyperlink ref="C38" location="Table14" display="Go to machinery operations" xr:uid="{00000000-0004-0000-0C00-000000000000}"/>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AL867"/>
  <sheetViews>
    <sheetView zoomScale="90" zoomScaleNormal="90" zoomScaleSheetLayoutView="100" workbookViewId="0">
      <selection activeCell="N151" sqref="N151"/>
    </sheetView>
  </sheetViews>
  <sheetFormatPr defaultColWidth="18.7109375" defaultRowHeight="12.95" customHeight="1" x14ac:dyDescent="0.2"/>
  <cols>
    <col min="1" max="1" width="3.140625" style="154" customWidth="1"/>
    <col min="2" max="2" width="0.5703125" style="31" customWidth="1"/>
    <col min="3" max="3" width="39.855468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9.85546875" style="31" customWidth="1"/>
    <col min="12" max="12" width="7.140625" style="121" customWidth="1"/>
  </cols>
  <sheetData>
    <row r="1" spans="1:38" s="31" customFormat="1" ht="12" customHeight="1" x14ac:dyDescent="0.25">
      <c r="A1" s="249"/>
      <c r="L1" s="121"/>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x14ac:dyDescent="0.2">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75" x14ac:dyDescent="0.25">
      <c r="A8" s="249"/>
      <c r="C8" s="197" t="s">
        <v>512</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75" x14ac:dyDescent="0.25">
      <c r="A10" s="198"/>
      <c r="B10" s="68"/>
      <c r="C10" s="677" t="s">
        <v>291</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25">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25" x14ac:dyDescent="0.2">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ht="12.75" x14ac:dyDescent="0.2">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ht="12.75" x14ac:dyDescent="0.2">
      <c r="B16" s="6"/>
      <c r="C16" s="180" t="s">
        <v>301</v>
      </c>
      <c r="D16" s="9"/>
      <c r="E16" s="115">
        <f>yDNS_CR</f>
        <v>45</v>
      </c>
      <c r="F16" s="9"/>
      <c r="G16" s="201" t="s">
        <v>91</v>
      </c>
      <c r="H16" s="9"/>
      <c r="I16" s="116">
        <f>Summary!F36</f>
        <v>8.8699999999999992</v>
      </c>
      <c r="J16" s="9"/>
      <c r="K16" s="11">
        <f>E16*I16</f>
        <v>399.15</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75" x14ac:dyDescent="0.2">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75" x14ac:dyDescent="0.2">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75" x14ac:dyDescent="0.25">
      <c r="B20" s="7"/>
      <c r="C20" s="40" t="s">
        <v>69</v>
      </c>
      <c r="D20" s="6"/>
      <c r="E20" s="54"/>
      <c r="F20" s="6"/>
      <c r="G20" s="7"/>
      <c r="H20" s="6"/>
      <c r="I20" s="49"/>
      <c r="J20" s="6"/>
      <c r="K20" s="107">
        <f>SUM(K21:K21)</f>
        <v>21.6</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ht="12.75" x14ac:dyDescent="0.2">
      <c r="B21" s="7"/>
      <c r="C21" s="43" t="s">
        <v>432</v>
      </c>
      <c r="D21" s="6"/>
      <c r="E21" s="114">
        <v>80</v>
      </c>
      <c r="F21" s="6"/>
      <c r="G21" s="16" t="s">
        <v>62</v>
      </c>
      <c r="H21" s="6"/>
      <c r="I21" s="111">
        <f>sdDNS</f>
        <v>0.27</v>
      </c>
      <c r="J21" s="6"/>
      <c r="K21" s="14">
        <f>E21*I21</f>
        <v>21.6</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75" x14ac:dyDescent="0.2">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50.17</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55</v>
      </c>
      <c r="F24" s="6"/>
      <c r="G24" s="16" t="s">
        <v>62</v>
      </c>
      <c r="H24" s="6"/>
      <c r="I24" s="111">
        <f>Nitrogen</f>
        <v>0.77</v>
      </c>
      <c r="J24" s="6"/>
      <c r="K24" s="17">
        <f>E24*I24</f>
        <v>42.35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11</v>
      </c>
      <c r="F25" s="6"/>
      <c r="G25" s="16" t="s">
        <v>62</v>
      </c>
      <c r="H25" s="6"/>
      <c r="I25" s="111">
        <f>Phosphorous</f>
        <v>0.66</v>
      </c>
      <c r="J25" s="6"/>
      <c r="K25" s="17">
        <f>E25*I25</f>
        <v>7.2600000000000007</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75" x14ac:dyDescent="0.2">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SUM(K30:K35)</f>
        <v>49.463999999999999</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16</v>
      </c>
      <c r="F30" s="6"/>
      <c r="G30" s="104" t="s">
        <v>64</v>
      </c>
      <c r="H30" s="6"/>
      <c r="I30" s="111">
        <f>Glyphosphate</f>
        <v>0.2</v>
      </c>
      <c r="J30" s="6"/>
      <c r="K30" s="17">
        <f t="shared" ref="K30:K35"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ht="12.75" x14ac:dyDescent="0.2">
      <c r="B31" s="6"/>
      <c r="C31" s="43" t="s">
        <v>571</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ht="12.75" x14ac:dyDescent="0.2">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ht="12.75" x14ac:dyDescent="0.2">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ht="12.75" x14ac:dyDescent="0.2">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ht="12.75" x14ac:dyDescent="0.2">
      <c r="B35" s="6"/>
      <c r="C35" s="43" t="s">
        <v>127</v>
      </c>
      <c r="D35" s="6"/>
      <c r="E35" s="112">
        <v>4</v>
      </c>
      <c r="F35" s="6"/>
      <c r="G35" s="181" t="s">
        <v>64</v>
      </c>
      <c r="H35" s="6"/>
      <c r="I35" s="111">
        <f>Tilt</f>
        <v>3.63</v>
      </c>
      <c r="J35" s="6"/>
      <c r="K35" s="17">
        <f t="shared" si="0"/>
        <v>14.52</v>
      </c>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75" x14ac:dyDescent="0.2">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ht="12.75" x14ac:dyDescent="0.2">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ht="12.75" x14ac:dyDescent="0.2">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ht="12.75" x14ac:dyDescent="0.2">
      <c r="A39" s="505"/>
      <c r="B39" s="6"/>
      <c r="C39" s="130" t="s">
        <v>102</v>
      </c>
      <c r="D39" s="6"/>
      <c r="E39" s="33">
        <v>1</v>
      </c>
      <c r="F39" s="6"/>
      <c r="G39" s="16" t="s">
        <v>63</v>
      </c>
      <c r="H39" s="6"/>
      <c r="I39" s="109">
        <f>'Machinery Costs'!K368</f>
        <v>13.98</v>
      </c>
      <c r="J39" s="6"/>
      <c r="K39" s="17">
        <f>E39*I39</f>
        <v>13.98</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ht="12.75" x14ac:dyDescent="0.2">
      <c r="B40" s="6"/>
      <c r="C40" s="30" t="s">
        <v>103</v>
      </c>
      <c r="D40" s="6"/>
      <c r="E40" s="33">
        <v>1</v>
      </c>
      <c r="F40" s="6"/>
      <c r="G40" s="16" t="s">
        <v>63</v>
      </c>
      <c r="H40" s="6"/>
      <c r="I40" s="109">
        <f>'Machinery Costs'!I368</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ht="12.75" x14ac:dyDescent="0.2">
      <c r="B41" s="6"/>
      <c r="C41" s="30" t="s">
        <v>25</v>
      </c>
      <c r="D41" s="6"/>
      <c r="E41" s="33">
        <v>1</v>
      </c>
      <c r="F41" s="6"/>
      <c r="G41" s="16" t="s">
        <v>63</v>
      </c>
      <c r="H41" s="6"/>
      <c r="I41" s="109">
        <f>'Machinery Costs'!H368</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ht="12.75" x14ac:dyDescent="0.2">
      <c r="B42" s="6"/>
      <c r="C42" s="30" t="s">
        <v>54</v>
      </c>
      <c r="D42" s="6"/>
      <c r="E42" s="110">
        <f>'Machinery Costs'!L368</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75" x14ac:dyDescent="0.2">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ht="12.75" x14ac:dyDescent="0.2">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ht="12.75" x14ac:dyDescent="0.2">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ht="12.75" x14ac:dyDescent="0.2">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ht="12.75" x14ac:dyDescent="0.2">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x14ac:dyDescent="0.2">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x14ac:dyDescent="0.2">
      <c r="B49" s="6"/>
      <c r="C49" s="40" t="s">
        <v>234</v>
      </c>
      <c r="D49" s="6"/>
      <c r="E49" s="34"/>
      <c r="F49" s="6"/>
      <c r="G49" s="7"/>
      <c r="H49" s="6"/>
      <c r="I49" s="49"/>
      <c r="J49" s="6"/>
      <c r="K49" s="106">
        <f>SUM(K50:K60)</f>
        <v>12.015000000000001</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x14ac:dyDescent="0.2">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ht="12.75" x14ac:dyDescent="0.2">
      <c r="B51" s="6"/>
      <c r="C51" s="130" t="s">
        <v>231</v>
      </c>
      <c r="D51" s="6"/>
      <c r="E51" s="114">
        <v>0</v>
      </c>
      <c r="F51" s="6"/>
      <c r="G51" s="104" t="s">
        <v>275</v>
      </c>
      <c r="H51" s="6"/>
      <c r="I51" s="248">
        <f>E53*(E54*E16)</f>
        <v>0.45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ht="12.75" x14ac:dyDescent="0.2">
      <c r="B52" s="6"/>
      <c r="C52" s="56" t="s">
        <v>549</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x14ac:dyDescent="0.2">
      <c r="B53" s="6"/>
      <c r="C53" s="243" t="s">
        <v>232</v>
      </c>
      <c r="D53" s="56"/>
      <c r="E53" s="111">
        <f>WheatStorage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ht="12.75" x14ac:dyDescent="0.2">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ht="12.75" x14ac:dyDescent="0.2">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75" x14ac:dyDescent="0.2">
      <c r="B56" s="6"/>
      <c r="C56" s="130" t="s">
        <v>548</v>
      </c>
      <c r="D56" s="6"/>
      <c r="E56" s="244">
        <f>E16</f>
        <v>45</v>
      </c>
      <c r="F56" s="6"/>
      <c r="G56" s="104" t="s">
        <v>91</v>
      </c>
      <c r="H56" s="6"/>
      <c r="I56" s="248">
        <f>(E58*E59)/E60</f>
        <v>0.26700000000000002</v>
      </c>
      <c r="J56" s="6"/>
      <c r="K56" s="209">
        <f>E56*I56</f>
        <v>12.015000000000001</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x14ac:dyDescent="0.2">
      <c r="B57" s="6"/>
      <c r="C57" s="56" t="s">
        <v>550</v>
      </c>
      <c r="D57" s="6"/>
      <c r="E57" s="61"/>
      <c r="F57" s="6"/>
      <c r="G57" s="61"/>
      <c r="H57" s="6"/>
      <c r="I57" s="61"/>
      <c r="J57" s="6"/>
      <c r="K57" s="106"/>
      <c r="L57" s="154"/>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x14ac:dyDescent="0.2">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x14ac:dyDescent="0.2">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x14ac:dyDescent="0.2">
      <c r="B60" s="6"/>
      <c r="C60" s="243" t="s">
        <v>219</v>
      </c>
      <c r="D60" s="6"/>
      <c r="E60" s="114">
        <v>1000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ht="12.75" x14ac:dyDescent="0.2">
      <c r="B62" s="6"/>
      <c r="C62" s="40" t="s">
        <v>40</v>
      </c>
      <c r="D62" s="6"/>
      <c r="E62" s="34"/>
      <c r="F62" s="6"/>
      <c r="G62" s="7"/>
      <c r="H62" s="6"/>
      <c r="I62" s="49"/>
      <c r="J62" s="6"/>
      <c r="K62" s="106">
        <f>SUM(K63:K65)</f>
        <v>8</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ht="12.75" x14ac:dyDescent="0.2">
      <c r="B63" s="6"/>
      <c r="C63" s="15" t="s">
        <v>65</v>
      </c>
      <c r="D63" s="6"/>
      <c r="E63" s="33">
        <v>1</v>
      </c>
      <c r="F63" s="6"/>
      <c r="G63" s="16" t="s">
        <v>63</v>
      </c>
      <c r="H63" s="6"/>
      <c r="I63" s="113">
        <f>ciDNS</f>
        <v>8</v>
      </c>
      <c r="J63" s="6"/>
      <c r="K63" s="17">
        <f>E63*I63</f>
        <v>8</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75" x14ac:dyDescent="0.2">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75" x14ac:dyDescent="0.2">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75" x14ac:dyDescent="0.2">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25" x14ac:dyDescent="0.2">
      <c r="B67" s="6"/>
      <c r="C67" s="56" t="s">
        <v>235</v>
      </c>
      <c r="D67" s="6"/>
      <c r="E67" s="34"/>
      <c r="F67" s="6"/>
      <c r="G67" s="7"/>
      <c r="H67" s="6"/>
      <c r="I67" s="34"/>
      <c r="J67" s="6"/>
      <c r="K67" s="17">
        <f>+(K20+K23+K29+K37+K44+K49+K62)*Operloan*0.75</f>
        <v>7.6722436875000017</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75" x14ac:dyDescent="0.2">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ht="12.75" x14ac:dyDescent="0.2">
      <c r="B69" s="40"/>
      <c r="C69" s="40" t="s">
        <v>85</v>
      </c>
      <c r="D69" s="40"/>
      <c r="E69" s="53"/>
      <c r="F69" s="40"/>
      <c r="G69" s="41"/>
      <c r="H69" s="40"/>
      <c r="I69" s="53"/>
      <c r="J69" s="40"/>
      <c r="K69" s="42">
        <f>SUM(K20,K23,K29,K37,K44,K49,K62,K67)</f>
        <v>185.57934368750003</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ht="12.75" x14ac:dyDescent="0.2">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ht="12.75" x14ac:dyDescent="0.2">
      <c r="B71" s="9"/>
      <c r="C71" s="50" t="s">
        <v>303</v>
      </c>
      <c r="D71" s="50"/>
      <c r="E71" s="51"/>
      <c r="F71" s="50"/>
      <c r="G71" s="52"/>
      <c r="H71" s="50"/>
      <c r="I71" s="51"/>
      <c r="J71" s="50"/>
      <c r="K71" s="73">
        <f>K16-(K69)</f>
        <v>213.57065631249995</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ht="12.75" x14ac:dyDescent="0.2">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ht="12.75" x14ac:dyDescent="0.2">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ht="12.75" x14ac:dyDescent="0.2">
      <c r="B74" s="6"/>
      <c r="C74" s="679" t="s">
        <v>100</v>
      </c>
      <c r="D74" s="679"/>
      <c r="E74" s="679"/>
      <c r="F74" s="6"/>
      <c r="G74" s="16" t="s">
        <v>63</v>
      </c>
      <c r="H74" s="6"/>
      <c r="I74" s="109">
        <f>'Machinery Costs'!D368</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ht="12.75" x14ac:dyDescent="0.2">
      <c r="B75" s="6"/>
      <c r="C75" s="679" t="s">
        <v>101</v>
      </c>
      <c r="D75" s="679"/>
      <c r="E75" s="679"/>
      <c r="F75" s="6"/>
      <c r="G75" s="16" t="s">
        <v>63</v>
      </c>
      <c r="H75" s="6"/>
      <c r="I75" s="109">
        <f>'Machinery Costs'!E368</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ht="12.75" x14ac:dyDescent="0.2">
      <c r="B76" s="6"/>
      <c r="C76" s="679" t="s">
        <v>3</v>
      </c>
      <c r="D76" s="679"/>
      <c r="E76" s="679"/>
      <c r="F76" s="6"/>
      <c r="G76" s="16" t="s">
        <v>63</v>
      </c>
      <c r="H76" s="6"/>
      <c r="I76" s="109">
        <f>'Machinery Costs'!F368</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t="12.75" hidden="1" x14ac:dyDescent="0.2">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75" x14ac:dyDescent="0.2">
      <c r="B78" s="6"/>
      <c r="C78" s="683" t="s">
        <v>551</v>
      </c>
      <c r="D78" s="679"/>
      <c r="E78" s="679"/>
      <c r="F78" s="6"/>
      <c r="G78" s="16" t="s">
        <v>63</v>
      </c>
      <c r="H78" s="6"/>
      <c r="I78" s="64">
        <f>ROUND((E16*I16)*E80-(K23+K29+I63)*E80, 0)</f>
        <v>97</v>
      </c>
      <c r="J78" s="6"/>
      <c r="K78" s="17">
        <f>+I78</f>
        <v>97</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75" x14ac:dyDescent="0.2">
      <c r="B79" s="6"/>
      <c r="C79" s="56" t="s">
        <v>556</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ht="12.75" x14ac:dyDescent="0.2">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ht="12.75" x14ac:dyDescent="0.2">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x14ac:dyDescent="0.2">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ht="12.75" x14ac:dyDescent="0.2">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25" x14ac:dyDescent="0.2">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25" x14ac:dyDescent="0.2">
      <c r="B85" s="6"/>
      <c r="C85" s="679" t="s">
        <v>237</v>
      </c>
      <c r="D85" s="679"/>
      <c r="E85" s="679"/>
      <c r="F85" s="6"/>
      <c r="G85" s="16" t="s">
        <v>63</v>
      </c>
      <c r="H85" s="6"/>
      <c r="I85" s="64">
        <f>ROUND(($K$16)*Mgmtfee, 0)</f>
        <v>20</v>
      </c>
      <c r="J85" s="6"/>
      <c r="K85" s="17">
        <f>I85</f>
        <v>20</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75" x14ac:dyDescent="0.2">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ht="12.75" x14ac:dyDescent="0.2">
      <c r="B87" s="40"/>
      <c r="C87" s="40" t="s">
        <v>84</v>
      </c>
      <c r="D87" s="40"/>
      <c r="E87" s="53"/>
      <c r="F87" s="40"/>
      <c r="G87" s="41"/>
      <c r="H87" s="40"/>
      <c r="I87" s="53"/>
      <c r="J87" s="40"/>
      <c r="K87" s="42">
        <f>SUM(K74:K85)</f>
        <v>153.91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75" x14ac:dyDescent="0.2">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ht="12.75" x14ac:dyDescent="0.2">
      <c r="A89" s="89"/>
      <c r="B89" s="40"/>
      <c r="C89" s="40" t="s">
        <v>26</v>
      </c>
      <c r="D89" s="40"/>
      <c r="E89" s="53"/>
      <c r="F89" s="40"/>
      <c r="G89" s="41"/>
      <c r="H89" s="40"/>
      <c r="I89" s="53"/>
      <c r="J89" s="40"/>
      <c r="K89" s="42">
        <f>K69+K87</f>
        <v>339.48934368750002</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75" x14ac:dyDescent="0.2">
      <c r="A90" s="154"/>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ht="12.75" x14ac:dyDescent="0.2">
      <c r="A91" s="200"/>
      <c r="B91" s="44"/>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ht="12.75" x14ac:dyDescent="0.2">
      <c r="A92" s="154"/>
      <c r="B92" s="31"/>
      <c r="C92" s="579" t="s">
        <v>442</v>
      </c>
      <c r="D92" s="579"/>
      <c r="E92" s="580"/>
      <c r="F92" s="579"/>
      <c r="G92" s="580"/>
      <c r="H92" s="579"/>
      <c r="I92" s="580"/>
      <c r="J92" s="579"/>
      <c r="K92" s="581">
        <f>K16-(K89)</f>
        <v>59.660656312499952</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x14ac:dyDescent="0.2">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75" x14ac:dyDescent="0.2">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39.75" customHeight="1" x14ac:dyDescent="0.2">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25" x14ac:dyDescent="0.2">
      <c r="A96" s="154"/>
      <c r="B96" s="55"/>
      <c r="C96" s="680" t="s">
        <v>558</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8.5" customHeight="1" x14ac:dyDescent="0.2">
      <c r="A97" s="154"/>
      <c r="C97" s="680" t="s">
        <v>555</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6.5" customHeight="1" x14ac:dyDescent="0.2">
      <c r="A98" s="154"/>
      <c r="B98" s="36"/>
      <c r="C98" s="680" t="s">
        <v>547</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x14ac:dyDescent="0.2">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75" x14ac:dyDescent="0.2">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ht="12.75" x14ac:dyDescent="0.2">
      <c r="A101" s="532"/>
      <c r="B101" s="532"/>
      <c r="C101" s="643" t="s">
        <v>563</v>
      </c>
      <c r="D101" s="636"/>
      <c r="E101" s="637" t="s">
        <v>72</v>
      </c>
      <c r="F101" s="636"/>
      <c r="G101" s="638" t="s">
        <v>559</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75" x14ac:dyDescent="0.2">
      <c r="A102" s="532"/>
      <c r="B102" s="532"/>
      <c r="C102" s="644" t="s">
        <v>560</v>
      </c>
      <c r="D102" s="636"/>
      <c r="E102" s="639">
        <f>K69</f>
        <v>185.57934368750003</v>
      </c>
      <c r="F102" s="636"/>
      <c r="G102" s="640">
        <f>E102/$E$16</f>
        <v>4.1239854152777786</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75" x14ac:dyDescent="0.2">
      <c r="A103" s="532"/>
      <c r="B103" s="532"/>
      <c r="C103" s="644" t="s">
        <v>561</v>
      </c>
      <c r="D103" s="636"/>
      <c r="E103" s="639">
        <f>K87</f>
        <v>153.91</v>
      </c>
      <c r="F103" s="636"/>
      <c r="G103" s="640">
        <f>E103/$E$16</f>
        <v>3.4202222222222223</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75" x14ac:dyDescent="0.2">
      <c r="A104" s="532"/>
      <c r="B104" s="532"/>
      <c r="C104" s="644" t="s">
        <v>562</v>
      </c>
      <c r="D104" s="636"/>
      <c r="E104" s="639">
        <f>K89</f>
        <v>339.48934368750002</v>
      </c>
      <c r="F104" s="636"/>
      <c r="G104" s="640">
        <f>E104/$E$16</f>
        <v>7.5442076375000005</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75" x14ac:dyDescent="0.2">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75" x14ac:dyDescent="0.2">
      <c r="A106" s="532"/>
      <c r="B106" s="532"/>
      <c r="C106" s="6"/>
      <c r="D106" s="6"/>
      <c r="E106" s="34"/>
      <c r="F106" s="6"/>
      <c r="G106" s="7"/>
      <c r="H106" s="6"/>
      <c r="I106" s="34"/>
      <c r="J106" s="6"/>
      <c r="K106" s="6"/>
      <c r="L106" s="532"/>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75" x14ac:dyDescent="0.2">
      <c r="B107" s="154"/>
      <c r="C107" s="19" t="s">
        <v>28</v>
      </c>
      <c r="D107" s="6"/>
      <c r="E107" s="20" t="s">
        <v>29</v>
      </c>
      <c r="F107" s="6"/>
      <c r="G107" s="7"/>
      <c r="H107" s="6"/>
      <c r="I107" s="20" t="s">
        <v>31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75" x14ac:dyDescent="0.2">
      <c r="B108" s="154"/>
      <c r="C108" s="6"/>
      <c r="D108" s="6"/>
      <c r="E108" s="21">
        <v>0.1</v>
      </c>
      <c r="F108" s="6"/>
      <c r="G108" s="7" t="s">
        <v>30</v>
      </c>
      <c r="H108" s="6"/>
      <c r="I108" s="21">
        <v>0.1</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75" x14ac:dyDescent="0.2">
      <c r="B109" s="154"/>
      <c r="C109" s="6"/>
      <c r="D109" s="6"/>
      <c r="E109" s="22"/>
      <c r="F109" s="3"/>
      <c r="G109" s="2" t="s">
        <v>32</v>
      </c>
      <c r="H109" s="3"/>
      <c r="I109" s="22"/>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75" x14ac:dyDescent="0.2">
      <c r="B110" s="154"/>
      <c r="C110" s="23" t="s">
        <v>50</v>
      </c>
      <c r="D110" s="6"/>
      <c r="E110" s="83">
        <f>G110*(1-E108)</f>
        <v>40.5</v>
      </c>
      <c r="F110" s="24"/>
      <c r="G110" s="25">
        <f>E16</f>
        <v>45</v>
      </c>
      <c r="H110" s="24"/>
      <c r="I110" s="83">
        <f>G110*(1+I108)</f>
        <v>49.500000000000007</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x14ac:dyDescent="0.2">
      <c r="B111" s="154"/>
      <c r="C111" s="6"/>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75" x14ac:dyDescent="0.2">
      <c r="B112" s="154"/>
      <c r="C112" s="495" t="s">
        <v>51</v>
      </c>
      <c r="D112" s="6"/>
      <c r="E112" s="26">
        <f>$K$69/E110</f>
        <v>4.5822060169753094</v>
      </c>
      <c r="F112" s="6"/>
      <c r="G112" s="26">
        <f>$K$69/G110</f>
        <v>4.1239854152777786</v>
      </c>
      <c r="H112" s="6"/>
      <c r="I112" s="26">
        <f>$K$69/I110</f>
        <v>3.7490776502525254</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x14ac:dyDescent="0.2">
      <c r="B113" s="154"/>
      <c r="C113" s="495"/>
      <c r="D113" s="6"/>
      <c r="E113" s="34"/>
      <c r="F113" s="6"/>
      <c r="G113" s="7"/>
      <c r="H113" s="6"/>
      <c r="I113" s="34"/>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75" x14ac:dyDescent="0.2">
      <c r="B114" s="154"/>
      <c r="C114" s="495" t="s">
        <v>52</v>
      </c>
      <c r="D114" s="6"/>
      <c r="E114" s="26">
        <f>$K$87/E110</f>
        <v>3.800246913580247</v>
      </c>
      <c r="F114" s="6"/>
      <c r="G114" s="26">
        <f>$K$87/G110</f>
        <v>3.4202222222222223</v>
      </c>
      <c r="H114" s="6"/>
      <c r="I114" s="26">
        <f>$K$87/I110</f>
        <v>3.1092929292929288</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6" customHeight="1" x14ac:dyDescent="0.2">
      <c r="B115" s="154"/>
      <c r="C115" s="495"/>
      <c r="D115" s="6"/>
      <c r="E115" s="34"/>
      <c r="F115" s="6"/>
      <c r="G115" s="7"/>
      <c r="H115" s="6"/>
      <c r="I115" s="34"/>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75" x14ac:dyDescent="0.2">
      <c r="B116" s="154"/>
      <c r="C116" s="495" t="s">
        <v>61</v>
      </c>
      <c r="D116" s="6"/>
      <c r="E116" s="26">
        <f>$K$89/E110</f>
        <v>8.3824529305555568</v>
      </c>
      <c r="F116" s="6"/>
      <c r="G116" s="26">
        <f>$K$89/G110</f>
        <v>7.5442076375000005</v>
      </c>
      <c r="H116" s="6"/>
      <c r="I116" s="26">
        <f>$K$89/I110</f>
        <v>6.8583705795454541</v>
      </c>
      <c r="J116" s="6"/>
      <c r="K116" s="6"/>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75" x14ac:dyDescent="0.2">
      <c r="B117" s="154"/>
      <c r="C117" s="496"/>
      <c r="D117" s="9"/>
      <c r="E117" s="58"/>
      <c r="F117" s="9"/>
      <c r="G117" s="13"/>
      <c r="H117" s="9"/>
      <c r="I117" s="58"/>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75" x14ac:dyDescent="0.2">
      <c r="B118" s="154"/>
      <c r="C118" s="496"/>
      <c r="D118" s="9"/>
      <c r="E118" s="20" t="s">
        <v>29</v>
      </c>
      <c r="F118" s="6"/>
      <c r="G118" s="7"/>
      <c r="H118" s="6"/>
      <c r="I118" s="20" t="s">
        <v>31</v>
      </c>
      <c r="J118" s="9"/>
      <c r="K118" s="9"/>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75" x14ac:dyDescent="0.2">
      <c r="B119" s="154"/>
      <c r="C119" s="495"/>
      <c r="D119" s="6"/>
      <c r="E119" s="21">
        <v>0.1</v>
      </c>
      <c r="F119" s="6"/>
      <c r="G119" s="7" t="s">
        <v>30</v>
      </c>
      <c r="H119" s="6"/>
      <c r="I119" s="21">
        <v>0.1</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75" x14ac:dyDescent="0.2">
      <c r="B120" s="154"/>
      <c r="C120" s="495"/>
      <c r="D120" s="6"/>
      <c r="E120" s="2"/>
      <c r="F120" s="3"/>
      <c r="G120" s="4" t="s">
        <v>50</v>
      </c>
      <c r="H120" s="3"/>
      <c r="I120" s="2"/>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75" x14ac:dyDescent="0.2">
      <c r="B121" s="154"/>
      <c r="C121" s="497" t="s">
        <v>32</v>
      </c>
      <c r="D121" s="6"/>
      <c r="E121" s="27">
        <f>G121*(1-E119)</f>
        <v>7.9829999999999997</v>
      </c>
      <c r="F121" s="24"/>
      <c r="G121" s="28">
        <f>I16</f>
        <v>8.8699999999999992</v>
      </c>
      <c r="H121" s="24"/>
      <c r="I121" s="27">
        <f>G121*(1+I119)</f>
        <v>9.7569999999999997</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x14ac:dyDescent="0.2">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75" x14ac:dyDescent="0.2">
      <c r="B123" s="154"/>
      <c r="C123" s="495" t="s">
        <v>51</v>
      </c>
      <c r="D123" s="6"/>
      <c r="E123" s="29">
        <f>$K$69/E121</f>
        <v>23.246817448014536</v>
      </c>
      <c r="F123" s="6"/>
      <c r="G123" s="29">
        <f>$K$69/G121</f>
        <v>20.922135703213083</v>
      </c>
      <c r="H123" s="6"/>
      <c r="I123" s="29">
        <f>$K$69/I121</f>
        <v>19.020123366557346</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x14ac:dyDescent="0.2">
      <c r="B124" s="154"/>
      <c r="C124" s="495"/>
      <c r="D124" s="6"/>
      <c r="E124" s="34"/>
      <c r="F124" s="6"/>
      <c r="G124" s="7"/>
      <c r="H124" s="6"/>
      <c r="I124" s="34"/>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75" x14ac:dyDescent="0.2">
      <c r="B125" s="154"/>
      <c r="C125" s="495" t="s">
        <v>52</v>
      </c>
      <c r="D125" s="6"/>
      <c r="E125" s="29">
        <f>$K$87/E121</f>
        <v>19.279719403732933</v>
      </c>
      <c r="F125" s="6"/>
      <c r="G125" s="29">
        <f>$K$87/G121</f>
        <v>17.35174746335964</v>
      </c>
      <c r="H125" s="6"/>
      <c r="I125" s="29">
        <f>$K$87/I121</f>
        <v>15.77431587578149</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6" customHeight="1" x14ac:dyDescent="0.2">
      <c r="B126" s="154"/>
      <c r="C126" s="495"/>
      <c r="D126" s="6"/>
      <c r="E126" s="34"/>
      <c r="F126" s="6"/>
      <c r="G126" s="7"/>
      <c r="H126" s="6"/>
      <c r="I126" s="34"/>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75" x14ac:dyDescent="0.2">
      <c r="B127" s="154"/>
      <c r="C127" s="495" t="s">
        <v>61</v>
      </c>
      <c r="D127" s="6"/>
      <c r="E127" s="29">
        <f>$K$89/E121</f>
        <v>42.526536851747466</v>
      </c>
      <c r="F127" s="6"/>
      <c r="G127" s="29">
        <f>$K$89/G121</f>
        <v>38.273883166572723</v>
      </c>
      <c r="H127" s="6"/>
      <c r="I127" s="29">
        <f>$K$89/I121</f>
        <v>34.794439242338839</v>
      </c>
      <c r="J127" s="6"/>
      <c r="K127" s="6"/>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75" x14ac:dyDescent="0.2">
      <c r="L128" s="154"/>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2.95" customHeight="1" x14ac:dyDescent="0.2">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2.95" customHeight="1" x14ac:dyDescent="0.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2.95" customHeight="1" x14ac:dyDescent="0.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2.95" customHeight="1" x14ac:dyDescent="0.2">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2.95" customHeight="1" x14ac:dyDescent="0.2">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2.95" customHeight="1" x14ac:dyDescent="0.2">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2.95" customHeight="1" x14ac:dyDescent="0.2">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2.95" customHeight="1" x14ac:dyDescent="0.2">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2.95" customHeight="1" x14ac:dyDescent="0.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2.95" customHeight="1" x14ac:dyDescent="0.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2.95" customHeight="1" x14ac:dyDescent="0.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2.95" customHeight="1" x14ac:dyDescent="0.2">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2.95" customHeight="1" x14ac:dyDescent="0.2">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2.95" customHeight="1" x14ac:dyDescent="0.2">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2.95" customHeight="1" x14ac:dyDescent="0.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2.95" customHeight="1" x14ac:dyDescent="0.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2.95" customHeight="1" x14ac:dyDescent="0.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2.95" customHeight="1" x14ac:dyDescent="0.2">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2.95" customHeight="1" x14ac:dyDescent="0.2">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2.95" customHeight="1" x14ac:dyDescent="0.2">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2.95" customHeight="1" x14ac:dyDescent="0.2">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2.95" customHeight="1" x14ac:dyDescent="0.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2.95" customHeight="1" x14ac:dyDescent="0.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2.95" customHeight="1" x14ac:dyDescent="0.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2.95" customHeight="1" x14ac:dyDescent="0.2">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2.95" customHeight="1" x14ac:dyDescent="0.2">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2.95" customHeight="1" x14ac:dyDescent="0.2">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2.95" customHeight="1" x14ac:dyDescent="0.2">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2.95" customHeight="1" x14ac:dyDescent="0.2">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2.95" customHeight="1" x14ac:dyDescent="0.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2.95" customHeight="1" x14ac:dyDescent="0.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2.95" customHeight="1" x14ac:dyDescent="0.2">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2.95" customHeight="1" x14ac:dyDescent="0.2">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2.95" customHeight="1" x14ac:dyDescent="0.2">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2.95" customHeight="1" x14ac:dyDescent="0.2">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2.95" customHeight="1" x14ac:dyDescent="0.2">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2.95" customHeight="1" x14ac:dyDescent="0.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2.95" customHeight="1" x14ac:dyDescent="0.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2.95" customHeight="1" x14ac:dyDescent="0.2">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2.95" customHeight="1" x14ac:dyDescent="0.2">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2.95" customHeight="1" x14ac:dyDescent="0.2">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2.95" customHeight="1" x14ac:dyDescent="0.2">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2.95" customHeight="1" x14ac:dyDescent="0.2">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2.95" customHeight="1" x14ac:dyDescent="0.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2.95" customHeight="1" x14ac:dyDescent="0.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2.95" customHeight="1" x14ac:dyDescent="0.2">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2.95" customHeight="1" x14ac:dyDescent="0.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2.95" customHeight="1" x14ac:dyDescent="0.2">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2.95" customHeight="1" x14ac:dyDescent="0.2">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2.95" customHeight="1" x14ac:dyDescent="0.2">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2.95" customHeight="1" x14ac:dyDescent="0.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2.95" customHeight="1" x14ac:dyDescent="0.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2.95" customHeight="1" x14ac:dyDescent="0.2">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2.95" customHeight="1" x14ac:dyDescent="0.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2.95" customHeight="1" x14ac:dyDescent="0.2">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2.95" customHeight="1" x14ac:dyDescent="0.2">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2.95" customHeight="1" x14ac:dyDescent="0.2">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2.95" customHeight="1" x14ac:dyDescent="0.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2.95" customHeight="1" x14ac:dyDescent="0.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2.95" customHeight="1" x14ac:dyDescent="0.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2.95" customHeight="1" x14ac:dyDescent="0.2">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2.95" customHeight="1" x14ac:dyDescent="0.2">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2.95" customHeight="1" x14ac:dyDescent="0.2">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2.95" customHeight="1" x14ac:dyDescent="0.2">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2.95" customHeight="1" x14ac:dyDescent="0.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2.95" customHeight="1" x14ac:dyDescent="0.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2.95" customHeight="1" x14ac:dyDescent="0.2">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2.95" customHeight="1" x14ac:dyDescent="0.2">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2.95" customHeight="1" x14ac:dyDescent="0.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2.95" customHeight="1" x14ac:dyDescent="0.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2.95" customHeight="1" x14ac:dyDescent="0.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2.95" customHeight="1" x14ac:dyDescent="0.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2.95" customHeight="1" x14ac:dyDescent="0.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2.95" customHeight="1" x14ac:dyDescent="0.2">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2.95" customHeight="1" x14ac:dyDescent="0.2">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2.95" customHeight="1" x14ac:dyDescent="0.2">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2.95" customHeight="1" x14ac:dyDescent="0.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2.95" customHeight="1" x14ac:dyDescent="0.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2.95" customHeight="1" x14ac:dyDescent="0.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2.95" customHeight="1" x14ac:dyDescent="0.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2.95" customHeight="1" x14ac:dyDescent="0.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2.95" customHeight="1" x14ac:dyDescent="0.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2.95" customHeight="1" x14ac:dyDescent="0.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2.95" customHeight="1" x14ac:dyDescent="0.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2.95" customHeight="1" x14ac:dyDescent="0.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2.95" customHeight="1" x14ac:dyDescent="0.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2.95" customHeight="1" x14ac:dyDescent="0.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2.95" customHeight="1" x14ac:dyDescent="0.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2.95" customHeight="1" x14ac:dyDescent="0.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2.95" customHeight="1" x14ac:dyDescent="0.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2.95" customHeight="1" x14ac:dyDescent="0.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2.95" customHeight="1" x14ac:dyDescent="0.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2.95" customHeight="1" x14ac:dyDescent="0.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2.95" customHeight="1" x14ac:dyDescent="0.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2.95" customHeight="1" x14ac:dyDescent="0.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2.95" customHeight="1" x14ac:dyDescent="0.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2.95" customHeight="1" x14ac:dyDescent="0.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2.95" customHeight="1" x14ac:dyDescent="0.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2.95" customHeight="1" x14ac:dyDescent="0.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2.95" customHeight="1" x14ac:dyDescent="0.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2.95" customHeight="1" x14ac:dyDescent="0.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2.95" customHeight="1" x14ac:dyDescent="0.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2.95" customHeight="1" x14ac:dyDescent="0.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2.95" customHeight="1" x14ac:dyDescent="0.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2.95" customHeight="1" x14ac:dyDescent="0.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2.95" customHeight="1" x14ac:dyDescent="0.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2.95" customHeight="1" x14ac:dyDescent="0.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2.95" customHeight="1" x14ac:dyDescent="0.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2.95" customHeight="1" x14ac:dyDescent="0.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2.95" customHeight="1" x14ac:dyDescent="0.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2.95" customHeight="1" x14ac:dyDescent="0.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2.95" customHeight="1" x14ac:dyDescent="0.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2.95" customHeight="1" x14ac:dyDescent="0.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2.95" customHeight="1" x14ac:dyDescent="0.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2.95" customHeight="1" x14ac:dyDescent="0.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2.95" customHeight="1" x14ac:dyDescent="0.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2.95" customHeight="1" x14ac:dyDescent="0.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2.95" customHeight="1" x14ac:dyDescent="0.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2.95" customHeight="1" x14ac:dyDescent="0.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2.95" customHeight="1" x14ac:dyDescent="0.2">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2.95" customHeight="1" x14ac:dyDescent="0.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2.95" customHeight="1" x14ac:dyDescent="0.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2.95" customHeight="1" x14ac:dyDescent="0.2">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2.95" customHeight="1" x14ac:dyDescent="0.2">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2.95" customHeight="1" x14ac:dyDescent="0.2">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2.95" customHeight="1" x14ac:dyDescent="0.2">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2.95" customHeight="1" x14ac:dyDescent="0.2">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2.95" customHeight="1" x14ac:dyDescent="0.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2.95" customHeight="1" x14ac:dyDescent="0.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2.95" customHeight="1" x14ac:dyDescent="0.2">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2.95" customHeight="1" x14ac:dyDescent="0.2">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2.95" customHeight="1" x14ac:dyDescent="0.2">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2.95" customHeight="1" x14ac:dyDescent="0.2">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2.95" customHeight="1" x14ac:dyDescent="0.2">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2.95" customHeight="1" x14ac:dyDescent="0.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2.95" customHeight="1" x14ac:dyDescent="0.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2.95" customHeight="1" x14ac:dyDescent="0.2">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2.95" customHeight="1" x14ac:dyDescent="0.2">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2.95" customHeight="1" x14ac:dyDescent="0.2">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2.95" customHeight="1" x14ac:dyDescent="0.2">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2.95" customHeight="1" x14ac:dyDescent="0.2">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2.95" customHeight="1" x14ac:dyDescent="0.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2.95" customHeight="1" x14ac:dyDescent="0.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2.95" customHeight="1" x14ac:dyDescent="0.2">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2.95" customHeight="1" x14ac:dyDescent="0.2">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2.95" customHeight="1" x14ac:dyDescent="0.2">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2.95" customHeight="1" x14ac:dyDescent="0.2">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2.95" customHeight="1" x14ac:dyDescent="0.2">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2.95" customHeight="1" x14ac:dyDescent="0.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2.95" customHeight="1" x14ac:dyDescent="0.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2.95" customHeight="1" x14ac:dyDescent="0.2">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2.95" customHeight="1" x14ac:dyDescent="0.2">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2.95" customHeight="1" x14ac:dyDescent="0.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2.95" customHeight="1" x14ac:dyDescent="0.2">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2.95" customHeight="1" x14ac:dyDescent="0.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2.95" customHeight="1" x14ac:dyDescent="0.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2.95" customHeight="1" x14ac:dyDescent="0.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2.95" customHeight="1" x14ac:dyDescent="0.2">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2.95" customHeight="1" x14ac:dyDescent="0.2">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2.95" customHeight="1" x14ac:dyDescent="0.2">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2.95" customHeight="1" x14ac:dyDescent="0.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2.95" customHeight="1" x14ac:dyDescent="0.2">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2.95" customHeight="1" x14ac:dyDescent="0.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2.95" customHeight="1" x14ac:dyDescent="0.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2.95" customHeight="1" x14ac:dyDescent="0.2">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2.95" customHeight="1" x14ac:dyDescent="0.2">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2.95" customHeight="1" x14ac:dyDescent="0.2">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2.95" customHeight="1" x14ac:dyDescent="0.2">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2.95" customHeight="1" x14ac:dyDescent="0.2">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2.95" customHeight="1" x14ac:dyDescent="0.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2.95" customHeight="1" x14ac:dyDescent="0.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2.95" customHeight="1" x14ac:dyDescent="0.2">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2.95" customHeight="1" x14ac:dyDescent="0.2">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2.95" customHeight="1" x14ac:dyDescent="0.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2.95" customHeight="1" x14ac:dyDescent="0.2">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2.95" customHeight="1" x14ac:dyDescent="0.2">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2.95" customHeight="1" x14ac:dyDescent="0.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2.95" customHeight="1" x14ac:dyDescent="0.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2.95" customHeight="1" x14ac:dyDescent="0.2">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2.95" customHeight="1" x14ac:dyDescent="0.2">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2.95" customHeight="1" x14ac:dyDescent="0.2">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2.95" customHeight="1" x14ac:dyDescent="0.2">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2.95" customHeight="1" x14ac:dyDescent="0.2">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2.95" customHeight="1" x14ac:dyDescent="0.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2.95" customHeight="1" x14ac:dyDescent="0.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2.95" customHeight="1" x14ac:dyDescent="0.2">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2.95" customHeight="1" x14ac:dyDescent="0.2">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2.95" customHeight="1" x14ac:dyDescent="0.2">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2.95" customHeight="1" x14ac:dyDescent="0.2">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2.95" customHeight="1" x14ac:dyDescent="0.2">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2.95" customHeight="1" x14ac:dyDescent="0.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2.95" customHeight="1" x14ac:dyDescent="0.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2.95" customHeight="1" x14ac:dyDescent="0.2">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2.95" customHeight="1" x14ac:dyDescent="0.2">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2.95" customHeight="1" x14ac:dyDescent="0.2">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2.95" customHeight="1" x14ac:dyDescent="0.2">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2.95" customHeight="1" x14ac:dyDescent="0.2">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2.95" customHeight="1" x14ac:dyDescent="0.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2.95" customHeight="1" x14ac:dyDescent="0.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2.95" customHeight="1" x14ac:dyDescent="0.2">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2.95" customHeight="1" x14ac:dyDescent="0.2">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2.95" customHeight="1" x14ac:dyDescent="0.2">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2.95" customHeight="1" x14ac:dyDescent="0.2">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2.95" customHeight="1" x14ac:dyDescent="0.2">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2.95" customHeight="1" x14ac:dyDescent="0.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2.95" customHeight="1" x14ac:dyDescent="0.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2.95" customHeight="1" x14ac:dyDescent="0.2">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2.95" customHeight="1" x14ac:dyDescent="0.2">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2.95" customHeight="1" x14ac:dyDescent="0.2">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2.95" customHeight="1" x14ac:dyDescent="0.2">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2.95" customHeight="1" x14ac:dyDescent="0.2">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2.95" customHeight="1" x14ac:dyDescent="0.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2.95" customHeight="1" x14ac:dyDescent="0.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2.95" customHeight="1" x14ac:dyDescent="0.2">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2.95" customHeight="1" x14ac:dyDescent="0.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2.95" customHeight="1" x14ac:dyDescent="0.2">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2.95" customHeight="1" x14ac:dyDescent="0.2">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2.95" customHeight="1" x14ac:dyDescent="0.2">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2.95" customHeight="1" x14ac:dyDescent="0.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2.95" customHeight="1" x14ac:dyDescent="0.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2.95" customHeight="1" x14ac:dyDescent="0.2">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2.95" customHeight="1" x14ac:dyDescent="0.2">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2.95" customHeight="1" x14ac:dyDescent="0.2">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2.95" customHeight="1" x14ac:dyDescent="0.2">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2.95" customHeight="1" x14ac:dyDescent="0.2">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2.95" customHeight="1" x14ac:dyDescent="0.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2.95" customHeight="1" x14ac:dyDescent="0.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2.95" customHeight="1" x14ac:dyDescent="0.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2.95" customHeight="1" x14ac:dyDescent="0.2">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2.95" customHeight="1" x14ac:dyDescent="0.2">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2.95" customHeight="1" x14ac:dyDescent="0.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2.95" customHeight="1" x14ac:dyDescent="0.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2.95" customHeight="1" x14ac:dyDescent="0.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2.95" customHeight="1" x14ac:dyDescent="0.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2.95" customHeight="1" x14ac:dyDescent="0.2">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2.95" customHeight="1" x14ac:dyDescent="0.2">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2.95" customHeight="1" x14ac:dyDescent="0.2">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2.95" customHeight="1" x14ac:dyDescent="0.2">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2.95" customHeight="1" x14ac:dyDescent="0.2">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2.95" customHeight="1" x14ac:dyDescent="0.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2.95" customHeight="1" x14ac:dyDescent="0.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2.95" customHeight="1" x14ac:dyDescent="0.2">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2.95" customHeight="1" x14ac:dyDescent="0.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2.95" customHeight="1" x14ac:dyDescent="0.2">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2.95" customHeight="1" x14ac:dyDescent="0.2">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2.95" customHeight="1" x14ac:dyDescent="0.2">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2.95" customHeight="1" x14ac:dyDescent="0.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2.95" customHeight="1" x14ac:dyDescent="0.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2.95" customHeight="1" x14ac:dyDescent="0.2">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2.95" customHeight="1" x14ac:dyDescent="0.2">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2.95" customHeight="1" x14ac:dyDescent="0.2">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2.95" customHeight="1" x14ac:dyDescent="0.2">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2.95" customHeight="1" x14ac:dyDescent="0.2">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2.95" customHeight="1" x14ac:dyDescent="0.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2.95" customHeight="1" x14ac:dyDescent="0.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2.95" customHeight="1" x14ac:dyDescent="0.2">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2.95" customHeight="1" x14ac:dyDescent="0.2">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2.95" customHeight="1" x14ac:dyDescent="0.2">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2.95" customHeight="1" x14ac:dyDescent="0.2">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2.95" customHeight="1" x14ac:dyDescent="0.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2.95" customHeight="1" x14ac:dyDescent="0.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2.95" customHeight="1" x14ac:dyDescent="0.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2.95" customHeight="1" x14ac:dyDescent="0.2">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2.95" customHeight="1" x14ac:dyDescent="0.2">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2.95" customHeight="1" x14ac:dyDescent="0.2">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2.95" customHeight="1" x14ac:dyDescent="0.2">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2.95" customHeight="1" x14ac:dyDescent="0.2">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2.95" customHeight="1" x14ac:dyDescent="0.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2.95" customHeight="1" x14ac:dyDescent="0.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2.95" customHeight="1" x14ac:dyDescent="0.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2.95" customHeight="1" x14ac:dyDescent="0.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2.95" customHeight="1" x14ac:dyDescent="0.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2.95" customHeight="1" x14ac:dyDescent="0.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2.95" customHeight="1" x14ac:dyDescent="0.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2.95" customHeight="1" x14ac:dyDescent="0.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2.95" customHeight="1" x14ac:dyDescent="0.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2.95" customHeight="1" x14ac:dyDescent="0.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2.95" customHeight="1" x14ac:dyDescent="0.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2.95" customHeight="1" x14ac:dyDescent="0.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2.95" customHeight="1" x14ac:dyDescent="0.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2.95" customHeight="1" x14ac:dyDescent="0.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2.95" customHeight="1" x14ac:dyDescent="0.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2.95" customHeight="1" x14ac:dyDescent="0.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2.95" customHeight="1" x14ac:dyDescent="0.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2.95" customHeight="1" x14ac:dyDescent="0.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2.95" customHeight="1" x14ac:dyDescent="0.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2.95" customHeight="1" x14ac:dyDescent="0.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2.95" customHeight="1" x14ac:dyDescent="0.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2.95" customHeight="1" x14ac:dyDescent="0.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2.95" customHeight="1" x14ac:dyDescent="0.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2.95" customHeight="1" x14ac:dyDescent="0.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2.95" customHeight="1" x14ac:dyDescent="0.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2.95" customHeight="1" x14ac:dyDescent="0.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2.95" customHeight="1" x14ac:dyDescent="0.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2.95" customHeight="1" x14ac:dyDescent="0.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2.95" customHeight="1" x14ac:dyDescent="0.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2.95" customHeight="1" x14ac:dyDescent="0.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2.95" customHeight="1" x14ac:dyDescent="0.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2.95" customHeight="1" x14ac:dyDescent="0.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2.95" customHeight="1" x14ac:dyDescent="0.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2.95" customHeight="1" x14ac:dyDescent="0.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2.95" customHeight="1" x14ac:dyDescent="0.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2.95" customHeight="1" x14ac:dyDescent="0.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2.95" customHeight="1" x14ac:dyDescent="0.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2.95" customHeight="1" x14ac:dyDescent="0.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2.95" customHeight="1" x14ac:dyDescent="0.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2.95" customHeight="1" x14ac:dyDescent="0.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2.95" customHeight="1" x14ac:dyDescent="0.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2.95" customHeight="1" x14ac:dyDescent="0.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2.95" customHeight="1" x14ac:dyDescent="0.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2.95" customHeight="1" x14ac:dyDescent="0.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2.95" customHeight="1" x14ac:dyDescent="0.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2.95" customHeight="1" x14ac:dyDescent="0.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2.95" customHeight="1" x14ac:dyDescent="0.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2.95" customHeight="1" x14ac:dyDescent="0.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2.95" customHeight="1" x14ac:dyDescent="0.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2.95" customHeight="1" x14ac:dyDescent="0.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2.95" customHeight="1" x14ac:dyDescent="0.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2.95" customHeight="1" x14ac:dyDescent="0.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2.95" customHeight="1" x14ac:dyDescent="0.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2.95" customHeight="1" x14ac:dyDescent="0.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2.95" customHeight="1" x14ac:dyDescent="0.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2.95" customHeight="1" x14ac:dyDescent="0.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2.95" customHeight="1" x14ac:dyDescent="0.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2.95" customHeight="1" x14ac:dyDescent="0.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2.95" customHeight="1" x14ac:dyDescent="0.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2.95" customHeight="1" x14ac:dyDescent="0.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2.95" customHeight="1" x14ac:dyDescent="0.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2.95" customHeight="1" x14ac:dyDescent="0.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2.95" customHeight="1" x14ac:dyDescent="0.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2.95" customHeight="1" x14ac:dyDescent="0.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2.95" customHeight="1" x14ac:dyDescent="0.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2.95" customHeight="1" x14ac:dyDescent="0.2">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2.95" customHeight="1" x14ac:dyDescent="0.2">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2.95" customHeight="1" x14ac:dyDescent="0.2">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2.95" customHeight="1" x14ac:dyDescent="0.2">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2.95" customHeight="1" x14ac:dyDescent="0.2">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2.95" customHeight="1" x14ac:dyDescent="0.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2.95" customHeight="1" x14ac:dyDescent="0.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2.95" customHeight="1" x14ac:dyDescent="0.2">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2.95" customHeight="1" x14ac:dyDescent="0.2">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2.95" customHeight="1" x14ac:dyDescent="0.2">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2.95" customHeight="1" x14ac:dyDescent="0.2">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2.95" customHeight="1" x14ac:dyDescent="0.2">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2.95" customHeight="1" x14ac:dyDescent="0.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2.95" customHeight="1" x14ac:dyDescent="0.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2.95" customHeight="1" x14ac:dyDescent="0.2">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2.95" customHeight="1" x14ac:dyDescent="0.2">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2.95" customHeight="1" x14ac:dyDescent="0.2">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2.95" customHeight="1" x14ac:dyDescent="0.2">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2.95" customHeight="1" x14ac:dyDescent="0.2">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2.95" customHeight="1" x14ac:dyDescent="0.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2.95" customHeight="1" x14ac:dyDescent="0.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2.95" customHeight="1" x14ac:dyDescent="0.2">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2.95" customHeight="1" x14ac:dyDescent="0.2">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2.95" customHeight="1" x14ac:dyDescent="0.2">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2.95" customHeight="1" x14ac:dyDescent="0.2">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2.95" customHeight="1" x14ac:dyDescent="0.2">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2.95" customHeight="1" x14ac:dyDescent="0.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2.95" customHeight="1" x14ac:dyDescent="0.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2.95" customHeight="1" x14ac:dyDescent="0.2">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2.95" customHeight="1" x14ac:dyDescent="0.2">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2.95" customHeight="1" x14ac:dyDescent="0.2">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2.95" customHeight="1" x14ac:dyDescent="0.2">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2.95" customHeight="1" x14ac:dyDescent="0.2">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2.95" customHeight="1" x14ac:dyDescent="0.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2.95" customHeight="1" x14ac:dyDescent="0.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2.95" customHeight="1" x14ac:dyDescent="0.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2.95" customHeight="1" x14ac:dyDescent="0.2">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2.95" customHeight="1" x14ac:dyDescent="0.2">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2.95" customHeight="1" x14ac:dyDescent="0.2">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2.95" customHeight="1" x14ac:dyDescent="0.2">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2.95" customHeight="1" x14ac:dyDescent="0.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2.95" customHeight="1" x14ac:dyDescent="0.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2.95" customHeight="1" x14ac:dyDescent="0.2">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2.95" customHeight="1" x14ac:dyDescent="0.2">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2.95" customHeight="1" x14ac:dyDescent="0.2">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2.95" customHeight="1" x14ac:dyDescent="0.2">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2.95" customHeight="1" x14ac:dyDescent="0.2">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2.95" customHeight="1" x14ac:dyDescent="0.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2.95" customHeight="1" x14ac:dyDescent="0.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2.95" customHeight="1" x14ac:dyDescent="0.2">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2.95" customHeight="1" x14ac:dyDescent="0.2">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2.95" customHeight="1" x14ac:dyDescent="0.2">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2.95" customHeight="1" x14ac:dyDescent="0.2">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2.95" customHeight="1" x14ac:dyDescent="0.2">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2.95" customHeight="1" x14ac:dyDescent="0.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2.95" customHeight="1" x14ac:dyDescent="0.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2.95" customHeight="1" x14ac:dyDescent="0.2">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2.95" customHeight="1" x14ac:dyDescent="0.2">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2.95" customHeight="1" x14ac:dyDescent="0.2">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2.95" customHeight="1" x14ac:dyDescent="0.2">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2.95" customHeight="1" x14ac:dyDescent="0.2">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2.95" customHeight="1" x14ac:dyDescent="0.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2.95" customHeight="1" x14ac:dyDescent="0.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2.95" customHeight="1" x14ac:dyDescent="0.2">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2.95" customHeight="1" x14ac:dyDescent="0.2">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2.95" customHeight="1" x14ac:dyDescent="0.2">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2.95" customHeight="1" x14ac:dyDescent="0.2">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2.95" customHeight="1" x14ac:dyDescent="0.2">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2.95" customHeight="1" x14ac:dyDescent="0.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2.95" customHeight="1" x14ac:dyDescent="0.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2.95" customHeight="1" x14ac:dyDescent="0.2">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2.95" customHeight="1" x14ac:dyDescent="0.2">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2.95" customHeight="1" x14ac:dyDescent="0.2">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2.95" customHeight="1" x14ac:dyDescent="0.2">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2.95" customHeight="1" x14ac:dyDescent="0.2">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2.95" customHeight="1" x14ac:dyDescent="0.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2.95" customHeight="1" x14ac:dyDescent="0.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2.95" customHeight="1" x14ac:dyDescent="0.2">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2.95" customHeight="1" x14ac:dyDescent="0.2">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2.95" customHeight="1" x14ac:dyDescent="0.2">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2.95" customHeight="1" x14ac:dyDescent="0.2">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2.95" customHeight="1" x14ac:dyDescent="0.2">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2.95" customHeight="1" x14ac:dyDescent="0.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2.95" customHeight="1" x14ac:dyDescent="0.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2.95" customHeight="1" x14ac:dyDescent="0.2">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2.95" customHeight="1" x14ac:dyDescent="0.2">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2.95" customHeight="1" x14ac:dyDescent="0.2">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2.95" customHeight="1" x14ac:dyDescent="0.2">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2.95" customHeight="1" x14ac:dyDescent="0.2">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2.95" customHeight="1" x14ac:dyDescent="0.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2.95" customHeight="1" x14ac:dyDescent="0.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2.95" customHeight="1" x14ac:dyDescent="0.2">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2.95" customHeight="1" x14ac:dyDescent="0.2">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2.95" customHeight="1" x14ac:dyDescent="0.2">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2.95" customHeight="1" x14ac:dyDescent="0.2">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2.95" customHeight="1" x14ac:dyDescent="0.2">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2.95" customHeight="1" x14ac:dyDescent="0.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2.95" customHeight="1" x14ac:dyDescent="0.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2.95" customHeight="1" x14ac:dyDescent="0.2">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2.95" customHeight="1" x14ac:dyDescent="0.2">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2.95" customHeight="1" x14ac:dyDescent="0.2">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2.95" customHeight="1" x14ac:dyDescent="0.2">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2.95" customHeight="1" x14ac:dyDescent="0.2">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2.95" customHeight="1" x14ac:dyDescent="0.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2.95" customHeight="1" x14ac:dyDescent="0.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2.95" customHeight="1" x14ac:dyDescent="0.2">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2.95" customHeight="1" x14ac:dyDescent="0.2">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2.95" customHeight="1" x14ac:dyDescent="0.2">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2.95" customHeight="1" x14ac:dyDescent="0.2">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2.95" customHeight="1" x14ac:dyDescent="0.2">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2.95" customHeight="1" x14ac:dyDescent="0.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2.95" customHeight="1" x14ac:dyDescent="0.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2.95" customHeight="1" x14ac:dyDescent="0.2">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2.95" customHeight="1" x14ac:dyDescent="0.2">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2.95" customHeight="1" x14ac:dyDescent="0.2">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2.95" customHeight="1" x14ac:dyDescent="0.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2.95" customHeight="1" x14ac:dyDescent="0.2">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2.95" customHeight="1" x14ac:dyDescent="0.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2.95" customHeight="1" x14ac:dyDescent="0.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2.95" customHeight="1" x14ac:dyDescent="0.2">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2.95" customHeight="1" x14ac:dyDescent="0.2">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2.95" customHeight="1" x14ac:dyDescent="0.2">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2.95" customHeight="1" x14ac:dyDescent="0.2">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2.95" customHeight="1" x14ac:dyDescent="0.2">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2.95" customHeight="1" x14ac:dyDescent="0.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2.95" customHeight="1" x14ac:dyDescent="0.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2.95" customHeight="1" x14ac:dyDescent="0.2">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2.95" customHeight="1" x14ac:dyDescent="0.2">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2.95" customHeight="1" x14ac:dyDescent="0.2">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2.95" customHeight="1" x14ac:dyDescent="0.2">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2.95" customHeight="1" x14ac:dyDescent="0.2">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2.95" customHeight="1" x14ac:dyDescent="0.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2.95" customHeight="1" x14ac:dyDescent="0.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2.95" customHeight="1" x14ac:dyDescent="0.2">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2.95" customHeight="1" x14ac:dyDescent="0.2">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2.95" customHeight="1" x14ac:dyDescent="0.2">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2.95" customHeight="1" x14ac:dyDescent="0.2">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2.95" customHeight="1" x14ac:dyDescent="0.2">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2.95" customHeight="1" x14ac:dyDescent="0.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2.95" customHeight="1" x14ac:dyDescent="0.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2.95" customHeight="1" x14ac:dyDescent="0.2">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2.95" customHeight="1" x14ac:dyDescent="0.2">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2.95" customHeight="1" x14ac:dyDescent="0.2">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2.95" customHeight="1" x14ac:dyDescent="0.2">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2.95" customHeight="1" x14ac:dyDescent="0.2">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2.95" customHeight="1" x14ac:dyDescent="0.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2.95" customHeight="1" x14ac:dyDescent="0.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2.95" customHeight="1" x14ac:dyDescent="0.2">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2.95" customHeight="1" x14ac:dyDescent="0.2">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2.95" customHeight="1" x14ac:dyDescent="0.2">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2.95" customHeight="1" x14ac:dyDescent="0.2">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2.95" customHeight="1" x14ac:dyDescent="0.2">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2.95" customHeight="1" x14ac:dyDescent="0.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2.95" customHeight="1" x14ac:dyDescent="0.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2.95" customHeight="1" x14ac:dyDescent="0.2">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2.95" customHeight="1" x14ac:dyDescent="0.2">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2.95" customHeight="1" x14ac:dyDescent="0.2">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2.95" customHeight="1" x14ac:dyDescent="0.2">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2.95" customHeight="1" x14ac:dyDescent="0.2">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2.95" customHeight="1" x14ac:dyDescent="0.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2.95" customHeight="1" x14ac:dyDescent="0.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2.95" customHeight="1" x14ac:dyDescent="0.2">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2.95" customHeight="1" x14ac:dyDescent="0.2">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2.95" customHeight="1" x14ac:dyDescent="0.2">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2.95" customHeight="1" x14ac:dyDescent="0.2">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2.95" customHeight="1" x14ac:dyDescent="0.2">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2.95" customHeight="1" x14ac:dyDescent="0.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2.95" customHeight="1" x14ac:dyDescent="0.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2.95" customHeight="1" x14ac:dyDescent="0.2">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2.95" customHeight="1" x14ac:dyDescent="0.2">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2.95" customHeight="1" x14ac:dyDescent="0.2">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2.95" customHeight="1" x14ac:dyDescent="0.2">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2.95" customHeight="1" x14ac:dyDescent="0.2">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2.95" customHeight="1" x14ac:dyDescent="0.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2.95" customHeight="1" x14ac:dyDescent="0.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2.95" customHeight="1" x14ac:dyDescent="0.2">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2.95" customHeight="1" x14ac:dyDescent="0.2">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2.95" customHeight="1" x14ac:dyDescent="0.2">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2.95" customHeight="1" x14ac:dyDescent="0.2">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2.95" customHeight="1" x14ac:dyDescent="0.2">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2.95" customHeight="1" x14ac:dyDescent="0.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2.95" customHeight="1" x14ac:dyDescent="0.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2.95" customHeight="1" x14ac:dyDescent="0.2">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2.95" customHeight="1" x14ac:dyDescent="0.2">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2.95" customHeight="1" x14ac:dyDescent="0.2">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2.95" customHeight="1" x14ac:dyDescent="0.2">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2.95" customHeight="1" x14ac:dyDescent="0.2">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2.95" customHeight="1" x14ac:dyDescent="0.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2.95" customHeight="1" x14ac:dyDescent="0.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2.95" customHeight="1" x14ac:dyDescent="0.2">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2.95" customHeight="1" x14ac:dyDescent="0.2">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2.95" customHeight="1" x14ac:dyDescent="0.2">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2.95" customHeight="1" x14ac:dyDescent="0.2">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2.95" customHeight="1" x14ac:dyDescent="0.2">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2.95" customHeight="1" x14ac:dyDescent="0.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2.95" customHeight="1" x14ac:dyDescent="0.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2.95" customHeight="1" x14ac:dyDescent="0.2">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2.95" customHeight="1" x14ac:dyDescent="0.2">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2.95" customHeight="1" x14ac:dyDescent="0.2">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2.95" customHeight="1" x14ac:dyDescent="0.2">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2.95" customHeight="1" x14ac:dyDescent="0.2">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2.95" customHeight="1" x14ac:dyDescent="0.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2.95" customHeight="1" x14ac:dyDescent="0.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2.95" customHeight="1" x14ac:dyDescent="0.2">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2.95" customHeight="1" x14ac:dyDescent="0.2">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2.95" customHeight="1" x14ac:dyDescent="0.2">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2.95" customHeight="1" x14ac:dyDescent="0.2">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2.95" customHeight="1" x14ac:dyDescent="0.2">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2.95" customHeight="1" x14ac:dyDescent="0.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2.95" customHeight="1" x14ac:dyDescent="0.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2.95" customHeight="1" x14ac:dyDescent="0.2">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2.95" customHeight="1" x14ac:dyDescent="0.2">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2.95" customHeight="1" x14ac:dyDescent="0.2">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2.95" customHeight="1" x14ac:dyDescent="0.2">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2.95" customHeight="1" x14ac:dyDescent="0.2">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2.95" customHeight="1" x14ac:dyDescent="0.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2.95" customHeight="1" x14ac:dyDescent="0.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2.95" customHeight="1" x14ac:dyDescent="0.2">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2.95" customHeight="1" x14ac:dyDescent="0.2">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2.95" customHeight="1" x14ac:dyDescent="0.2">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2.95" customHeight="1" x14ac:dyDescent="0.2">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2.95" customHeight="1" x14ac:dyDescent="0.2">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2.95" customHeight="1" x14ac:dyDescent="0.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2.95" customHeight="1" x14ac:dyDescent="0.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2.95" customHeight="1" x14ac:dyDescent="0.2">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2.95" customHeight="1" x14ac:dyDescent="0.2">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2.95" customHeight="1" x14ac:dyDescent="0.2">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2.95" customHeight="1" x14ac:dyDescent="0.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2.95" customHeight="1" x14ac:dyDescent="0.2">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2.95" customHeight="1" x14ac:dyDescent="0.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2.95" customHeight="1" x14ac:dyDescent="0.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2.95" customHeight="1" x14ac:dyDescent="0.2">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2.95" customHeight="1" x14ac:dyDescent="0.2">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2.95" customHeight="1" x14ac:dyDescent="0.2">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2.95" customHeight="1" x14ac:dyDescent="0.2">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2.95" customHeight="1" x14ac:dyDescent="0.2">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2.95" customHeight="1" x14ac:dyDescent="0.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2.95" customHeight="1" x14ac:dyDescent="0.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2.95" customHeight="1" x14ac:dyDescent="0.2">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2.95" customHeight="1" x14ac:dyDescent="0.2">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2.95" customHeight="1" x14ac:dyDescent="0.2">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2.95" customHeight="1" x14ac:dyDescent="0.2">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2.95" customHeight="1" x14ac:dyDescent="0.2">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2.95" customHeight="1" x14ac:dyDescent="0.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2.95" customHeight="1" x14ac:dyDescent="0.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2.95" customHeight="1" x14ac:dyDescent="0.2">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2.95" customHeight="1" x14ac:dyDescent="0.2">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2.95" customHeight="1" x14ac:dyDescent="0.2">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2.95" customHeight="1" x14ac:dyDescent="0.2">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2.95" customHeight="1" x14ac:dyDescent="0.2">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2.95" customHeight="1" x14ac:dyDescent="0.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2.95" customHeight="1" x14ac:dyDescent="0.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2.95" customHeight="1" x14ac:dyDescent="0.2">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2.95" customHeight="1" x14ac:dyDescent="0.2">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2.95" customHeight="1" x14ac:dyDescent="0.2">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2.95" customHeight="1" x14ac:dyDescent="0.2">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2.95" customHeight="1" x14ac:dyDescent="0.2">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2.95" customHeight="1" x14ac:dyDescent="0.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2.95" customHeight="1" x14ac:dyDescent="0.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2.95" customHeight="1" x14ac:dyDescent="0.2">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2.95" customHeight="1" x14ac:dyDescent="0.2">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2.95" customHeight="1" x14ac:dyDescent="0.2">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2.95" customHeight="1" x14ac:dyDescent="0.2">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2.95" customHeight="1" x14ac:dyDescent="0.2">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2.95" customHeight="1" x14ac:dyDescent="0.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2.95" customHeight="1" x14ac:dyDescent="0.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2.95" customHeight="1" x14ac:dyDescent="0.2">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2.95" customHeight="1" x14ac:dyDescent="0.2">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2.95" customHeight="1" x14ac:dyDescent="0.2">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2.95" customHeight="1" x14ac:dyDescent="0.2">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2.95" customHeight="1" x14ac:dyDescent="0.2">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2.95" customHeight="1" x14ac:dyDescent="0.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2.95" customHeight="1" x14ac:dyDescent="0.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2.95" customHeight="1" x14ac:dyDescent="0.2">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2.95" customHeight="1" x14ac:dyDescent="0.2">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2.95" customHeight="1" x14ac:dyDescent="0.2">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2.95" customHeight="1" x14ac:dyDescent="0.2">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2.95" customHeight="1" x14ac:dyDescent="0.2">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2.95" customHeight="1" x14ac:dyDescent="0.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2.95" customHeight="1" x14ac:dyDescent="0.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2.95" customHeight="1" x14ac:dyDescent="0.2">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2.95" customHeight="1" x14ac:dyDescent="0.2">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2.95" customHeight="1" x14ac:dyDescent="0.2">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2.95" customHeight="1" x14ac:dyDescent="0.2">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2.95" customHeight="1" x14ac:dyDescent="0.2">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2.95" customHeight="1" x14ac:dyDescent="0.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2.95" customHeight="1" x14ac:dyDescent="0.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2.95" customHeight="1" x14ac:dyDescent="0.2">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2.95" customHeight="1" x14ac:dyDescent="0.2">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2.95" customHeight="1" x14ac:dyDescent="0.2">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2.95" customHeight="1" x14ac:dyDescent="0.2">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2.95" customHeight="1" x14ac:dyDescent="0.2">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2.95" customHeight="1" x14ac:dyDescent="0.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2.95" customHeight="1" x14ac:dyDescent="0.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2.95" customHeight="1" x14ac:dyDescent="0.2">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2.95" customHeight="1" x14ac:dyDescent="0.2">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2.95" customHeight="1" x14ac:dyDescent="0.2">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2.95" customHeight="1" x14ac:dyDescent="0.2">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2.95" customHeight="1" x14ac:dyDescent="0.2">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2.95" customHeight="1" x14ac:dyDescent="0.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2.95" customHeight="1" x14ac:dyDescent="0.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2.95" customHeight="1" x14ac:dyDescent="0.2">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2.95" customHeight="1" x14ac:dyDescent="0.2">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2.95" customHeight="1" x14ac:dyDescent="0.2">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2.95" customHeight="1" x14ac:dyDescent="0.2">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2.95" customHeight="1" x14ac:dyDescent="0.2">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2.95" customHeight="1" x14ac:dyDescent="0.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2.95" customHeight="1" x14ac:dyDescent="0.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2.95" customHeight="1" x14ac:dyDescent="0.2">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2.95" customHeight="1" x14ac:dyDescent="0.2">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2.95" customHeight="1" x14ac:dyDescent="0.2">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2.95" customHeight="1" x14ac:dyDescent="0.2">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2.95" customHeight="1" x14ac:dyDescent="0.2">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2.95" customHeight="1" x14ac:dyDescent="0.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2.95" customHeight="1" x14ac:dyDescent="0.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2.95" customHeight="1" x14ac:dyDescent="0.2">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2.95" customHeight="1" x14ac:dyDescent="0.2">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2.95" customHeight="1" x14ac:dyDescent="0.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2.95" customHeight="1" x14ac:dyDescent="0.2">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2.95" customHeight="1" x14ac:dyDescent="0.2">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2.95" customHeight="1" x14ac:dyDescent="0.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2.95" customHeight="1" x14ac:dyDescent="0.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2.95" customHeight="1" x14ac:dyDescent="0.2">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2.95" customHeight="1" x14ac:dyDescent="0.2">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2.95" customHeight="1" x14ac:dyDescent="0.2">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2.95" customHeight="1" x14ac:dyDescent="0.2">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2.95" customHeight="1" x14ac:dyDescent="0.2">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2.95" customHeight="1" x14ac:dyDescent="0.2">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2.95" customHeight="1" x14ac:dyDescent="0.2">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2.95" customHeight="1" x14ac:dyDescent="0.2">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2.95" customHeight="1" x14ac:dyDescent="0.2">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2.95" customHeight="1" x14ac:dyDescent="0.2">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2.95" customHeight="1" x14ac:dyDescent="0.2">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2.95" customHeight="1" x14ac:dyDescent="0.2">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2.95" customHeight="1" x14ac:dyDescent="0.2">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2.95" customHeight="1" x14ac:dyDescent="0.2">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2.95" customHeight="1" x14ac:dyDescent="0.2">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2.95" customHeight="1" x14ac:dyDescent="0.2">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2.95" customHeight="1" x14ac:dyDescent="0.2">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2.95" customHeight="1" x14ac:dyDescent="0.2">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2.95" customHeight="1" x14ac:dyDescent="0.2">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2.95" customHeight="1" x14ac:dyDescent="0.2">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2.95" customHeight="1" x14ac:dyDescent="0.2">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2.95" customHeight="1" x14ac:dyDescent="0.2">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2.95" customHeight="1" x14ac:dyDescent="0.2">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2.95" customHeight="1" x14ac:dyDescent="0.2">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2.95" customHeight="1" x14ac:dyDescent="0.2">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2.95" customHeight="1" x14ac:dyDescent="0.2">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2.95" customHeight="1" x14ac:dyDescent="0.2">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2.95" customHeight="1" x14ac:dyDescent="0.2">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2.95" customHeight="1" x14ac:dyDescent="0.2">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2.95" customHeight="1" x14ac:dyDescent="0.2">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2.95" customHeight="1" x14ac:dyDescent="0.2">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2.95" customHeight="1" x14ac:dyDescent="0.2">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2.95" customHeight="1" x14ac:dyDescent="0.2">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2.95" customHeight="1" x14ac:dyDescent="0.2">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2.95" customHeight="1" x14ac:dyDescent="0.2">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2.95" customHeight="1" x14ac:dyDescent="0.2">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2.95" customHeight="1" x14ac:dyDescent="0.2">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2.95" customHeight="1" x14ac:dyDescent="0.2">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2.95" customHeight="1" x14ac:dyDescent="0.2">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2.95" customHeight="1" x14ac:dyDescent="0.2">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2.95" customHeight="1" x14ac:dyDescent="0.2">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2.95" customHeight="1" x14ac:dyDescent="0.2">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2.95" customHeight="1" x14ac:dyDescent="0.2">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2.95" customHeight="1" x14ac:dyDescent="0.2">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2.95" customHeight="1" x14ac:dyDescent="0.2">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2.95" customHeight="1" x14ac:dyDescent="0.2">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2.95" customHeight="1" x14ac:dyDescent="0.2">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2.95" customHeight="1" x14ac:dyDescent="0.2">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2.95" customHeight="1" x14ac:dyDescent="0.2">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2.95" customHeight="1" x14ac:dyDescent="0.2">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2.95" customHeight="1" x14ac:dyDescent="0.2">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2.95" customHeight="1" x14ac:dyDescent="0.2">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2.95" customHeight="1" x14ac:dyDescent="0.2">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2.95" customHeight="1" x14ac:dyDescent="0.2">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2.95" customHeight="1" x14ac:dyDescent="0.2">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2.95" customHeight="1" x14ac:dyDescent="0.2">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2.95" customHeight="1" x14ac:dyDescent="0.2">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2.95" customHeight="1" x14ac:dyDescent="0.2">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2.95" customHeight="1" x14ac:dyDescent="0.2">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2.95" customHeight="1" x14ac:dyDescent="0.2">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2.95" customHeight="1" x14ac:dyDescent="0.2">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2.95" customHeight="1" x14ac:dyDescent="0.2">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2.95" customHeight="1" x14ac:dyDescent="0.2">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2.95" customHeight="1" x14ac:dyDescent="0.2">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2.95" customHeight="1" x14ac:dyDescent="0.2">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2.95" customHeight="1" x14ac:dyDescent="0.2">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2.95" customHeight="1" x14ac:dyDescent="0.2">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2.95" customHeight="1" x14ac:dyDescent="0.2">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2.95" customHeight="1" x14ac:dyDescent="0.2">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2.95" customHeight="1" x14ac:dyDescent="0.2">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2.95" customHeight="1" x14ac:dyDescent="0.2">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2.95" customHeight="1" x14ac:dyDescent="0.2">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2.95" customHeight="1" x14ac:dyDescent="0.2">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2.95" customHeight="1" x14ac:dyDescent="0.2">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2.95" customHeight="1" x14ac:dyDescent="0.2">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2.95" customHeight="1" x14ac:dyDescent="0.2">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2.95" customHeight="1" x14ac:dyDescent="0.2">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2.95" customHeight="1" x14ac:dyDescent="0.2">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2.95" customHeight="1" x14ac:dyDescent="0.2">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2.95" customHeight="1" x14ac:dyDescent="0.2">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2.95" customHeight="1" x14ac:dyDescent="0.2">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2.95" customHeight="1" x14ac:dyDescent="0.2">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2.95" customHeight="1" x14ac:dyDescent="0.2">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2.95" customHeight="1" x14ac:dyDescent="0.2">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row r="867" spans="13:38" ht="12.95" customHeight="1" x14ac:dyDescent="0.2">
      <c r="M867" s="532"/>
      <c r="N867" s="532"/>
      <c r="O867" s="532"/>
      <c r="P867" s="532"/>
      <c r="Q867" s="532"/>
      <c r="R867" s="532"/>
      <c r="S867" s="532"/>
      <c r="T867" s="532"/>
      <c r="U867" s="532"/>
      <c r="V867" s="532"/>
      <c r="W867" s="532"/>
      <c r="X867" s="532"/>
      <c r="Y867" s="532"/>
      <c r="Z867" s="532"/>
      <c r="AA867" s="532"/>
      <c r="AB867" s="532"/>
      <c r="AC867" s="532"/>
      <c r="AD867" s="532"/>
      <c r="AE867" s="532"/>
      <c r="AF867" s="532"/>
      <c r="AG867" s="532"/>
      <c r="AH867" s="532"/>
      <c r="AI867" s="532"/>
      <c r="AJ867" s="532"/>
      <c r="AK867" s="532"/>
      <c r="AL867" s="532"/>
    </row>
  </sheetData>
  <mergeCells count="15">
    <mergeCell ref="C76:E76"/>
    <mergeCell ref="C83:E83"/>
    <mergeCell ref="C84:E84"/>
    <mergeCell ref="C85:E85"/>
    <mergeCell ref="C78:E78"/>
    <mergeCell ref="C4:K4"/>
    <mergeCell ref="C6:K6"/>
    <mergeCell ref="C10:L10"/>
    <mergeCell ref="C74:E74"/>
    <mergeCell ref="C75:E75"/>
    <mergeCell ref="C98:K98"/>
    <mergeCell ref="C99:K99"/>
    <mergeCell ref="C95:K95"/>
    <mergeCell ref="C96:K96"/>
    <mergeCell ref="C97:K97"/>
  </mergeCells>
  <hyperlinks>
    <hyperlink ref="C38" location="Table15" display="Go to machinery operations" xr:uid="{00000000-0004-0000-0D00-000000000000}"/>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AL867"/>
  <sheetViews>
    <sheetView zoomScale="90" zoomScaleNormal="90" zoomScaleSheetLayoutView="100" workbookViewId="0">
      <selection activeCell="N151" sqref="N151"/>
    </sheetView>
  </sheetViews>
  <sheetFormatPr defaultColWidth="18.7109375" defaultRowHeight="12.95" customHeight="1" x14ac:dyDescent="0.2"/>
  <cols>
    <col min="1" max="1" width="3.140625" style="154" customWidth="1"/>
    <col min="2" max="2" width="0.5703125" style="31" customWidth="1"/>
    <col min="3" max="3" width="39.855468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9.85546875" style="31" customWidth="1"/>
    <col min="12" max="12" width="7.140625" style="121" customWidth="1"/>
  </cols>
  <sheetData>
    <row r="1" spans="1:38" s="31" customFormat="1" ht="12" customHeight="1" x14ac:dyDescent="0.25">
      <c r="A1" s="249"/>
      <c r="L1" s="121"/>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row>
    <row r="7" spans="1:38" s="31" customFormat="1" ht="25.5" customHeight="1" x14ac:dyDescent="0.2">
      <c r="A7" s="198"/>
      <c r="L7" s="121"/>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2"/>
      <c r="AL7" s="532"/>
    </row>
    <row r="8" spans="1:38" s="31" customFormat="1" ht="15.75" x14ac:dyDescent="0.25">
      <c r="A8" s="249"/>
      <c r="C8" s="197" t="s">
        <v>513</v>
      </c>
      <c r="L8" s="121"/>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row>
    <row r="10" spans="1:38" s="69" customFormat="1" ht="15.75" x14ac:dyDescent="0.25">
      <c r="A10" s="198"/>
      <c r="B10" s="68"/>
      <c r="C10" s="677" t="s">
        <v>295</v>
      </c>
      <c r="D10" s="678"/>
      <c r="E10" s="678"/>
      <c r="F10" s="678"/>
      <c r="G10" s="678"/>
      <c r="H10" s="678"/>
      <c r="I10" s="678"/>
      <c r="J10" s="678"/>
      <c r="K10" s="678"/>
      <c r="L10" s="678"/>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row>
    <row r="11" spans="1:38" s="69" customFormat="1" ht="5.25" customHeight="1" x14ac:dyDescent="0.25">
      <c r="A11" s="198"/>
      <c r="B11" s="68"/>
      <c r="C11" s="251"/>
      <c r="D11" s="252"/>
      <c r="E11" s="252"/>
      <c r="F11" s="252"/>
      <c r="G11" s="252"/>
      <c r="H11" s="252"/>
      <c r="I11" s="252"/>
      <c r="J11" s="252"/>
      <c r="K11" s="252"/>
      <c r="L11" s="477"/>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row>
    <row r="12" spans="1:38" s="66" customFormat="1" ht="14.25" x14ac:dyDescent="0.2">
      <c r="A12" s="108"/>
      <c r="B12" s="124"/>
      <c r="C12" s="123"/>
      <c r="D12" s="123"/>
      <c r="E12" s="124" t="s">
        <v>87</v>
      </c>
      <c r="F12" s="124"/>
      <c r="G12" s="125"/>
      <c r="H12" s="124"/>
      <c r="I12" s="124" t="s">
        <v>88</v>
      </c>
      <c r="J12" s="124"/>
      <c r="K12" s="124" t="s">
        <v>89</v>
      </c>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4"/>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row>
    <row r="14" spans="1:38" ht="3.75" customHeight="1" x14ac:dyDescent="0.2">
      <c r="B14" s="128"/>
      <c r="C14" s="127"/>
      <c r="D14" s="128"/>
      <c r="E14" s="127"/>
      <c r="F14" s="128"/>
      <c r="G14" s="129"/>
      <c r="H14" s="128"/>
      <c r="I14" s="127"/>
      <c r="J14" s="128"/>
      <c r="K14" s="128"/>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ht="12.75" x14ac:dyDescent="0.2">
      <c r="B15" s="9"/>
      <c r="C15" s="5" t="s">
        <v>68</v>
      </c>
      <c r="D15" s="6"/>
      <c r="E15" s="34"/>
      <c r="F15" s="6"/>
      <c r="G15" s="7"/>
      <c r="H15" s="6"/>
      <c r="I15" s="34"/>
      <c r="J15" s="6"/>
      <c r="K15" s="8"/>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ht="12.75" x14ac:dyDescent="0.2">
      <c r="B16" s="6"/>
      <c r="C16" s="180" t="s">
        <v>302</v>
      </c>
      <c r="D16" s="9"/>
      <c r="E16" s="483">
        <f>ySB_CR</f>
        <v>1.5</v>
      </c>
      <c r="F16" s="9"/>
      <c r="G16" s="201" t="s">
        <v>299</v>
      </c>
      <c r="H16" s="9"/>
      <c r="I16" s="116">
        <f>pSB</f>
        <v>190</v>
      </c>
      <c r="J16" s="9"/>
      <c r="K16" s="11">
        <f>E16*I16</f>
        <v>285</v>
      </c>
      <c r="M16" s="532"/>
      <c r="N16" s="532"/>
      <c r="O16" s="532"/>
      <c r="P16" s="532"/>
      <c r="Q16" s="532"/>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2:38" ht="12.75" x14ac:dyDescent="0.2">
      <c r="B17" s="6"/>
      <c r="C17" s="9"/>
      <c r="D17" s="9"/>
      <c r="E17" s="58"/>
      <c r="F17" s="9"/>
      <c r="G17" s="13"/>
      <c r="H17" s="9"/>
      <c r="I17" s="63"/>
      <c r="J17" s="9"/>
      <c r="K17" s="11"/>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54"/>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2:38" ht="12.75" x14ac:dyDescent="0.2">
      <c r="B19" s="7"/>
      <c r="C19" s="6"/>
      <c r="D19" s="6"/>
      <c r="E19" s="34"/>
      <c r="F19" s="6"/>
      <c r="G19" s="7"/>
      <c r="H19" s="6"/>
      <c r="I19" s="49"/>
      <c r="J19" s="6"/>
      <c r="K19" s="14"/>
      <c r="L19" s="154"/>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2:38" ht="15.75" x14ac:dyDescent="0.25">
      <c r="B20" s="7"/>
      <c r="C20" s="40" t="s">
        <v>69</v>
      </c>
      <c r="D20" s="6"/>
      <c r="E20" s="54"/>
      <c r="F20" s="6"/>
      <c r="G20" s="7"/>
      <c r="H20" s="6"/>
      <c r="I20" s="49"/>
      <c r="J20" s="6"/>
      <c r="K20" s="107">
        <f>SUM(K21:K21)</f>
        <v>16.8</v>
      </c>
      <c r="L20" s="154"/>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row>
    <row r="21" spans="2:38" ht="12.75" x14ac:dyDescent="0.2">
      <c r="B21" s="7"/>
      <c r="C21" s="43" t="s">
        <v>439</v>
      </c>
      <c r="D21" s="6"/>
      <c r="E21" s="114">
        <v>70</v>
      </c>
      <c r="F21" s="6"/>
      <c r="G21" s="16" t="s">
        <v>62</v>
      </c>
      <c r="H21" s="6"/>
      <c r="I21" s="111">
        <f>sdBarley</f>
        <v>0.24</v>
      </c>
      <c r="J21" s="6"/>
      <c r="K21" s="14">
        <f>E21*I21</f>
        <v>16.8</v>
      </c>
      <c r="L21" s="154"/>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c r="AL21" s="532"/>
    </row>
    <row r="22" spans="2:38" ht="12.75" x14ac:dyDescent="0.2">
      <c r="B22" s="7"/>
      <c r="C22" s="6"/>
      <c r="D22" s="6"/>
      <c r="E22" s="34"/>
      <c r="F22" s="6"/>
      <c r="G22" s="7"/>
      <c r="H22" s="6"/>
      <c r="I22" s="57"/>
      <c r="J22" s="6"/>
      <c r="K22" s="14"/>
      <c r="L22" s="154"/>
      <c r="M22" s="532"/>
      <c r="N22" s="532"/>
      <c r="O22" s="532"/>
      <c r="P22" s="532"/>
      <c r="Q22" s="532"/>
      <c r="R22" s="532"/>
      <c r="S22" s="532"/>
      <c r="T22" s="532"/>
      <c r="U22" s="532"/>
      <c r="V22" s="532"/>
      <c r="W22" s="532"/>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41.81</v>
      </c>
      <c r="L23" s="154"/>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45</v>
      </c>
      <c r="F24" s="6"/>
      <c r="G24" s="16" t="s">
        <v>62</v>
      </c>
      <c r="H24" s="6"/>
      <c r="I24" s="111">
        <f>Nitrogen</f>
        <v>0.77</v>
      </c>
      <c r="J24" s="6"/>
      <c r="K24" s="17">
        <f>E24*I24</f>
        <v>34.65</v>
      </c>
      <c r="L24" s="154"/>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10</v>
      </c>
      <c r="F25" s="6"/>
      <c r="G25" s="16" t="s">
        <v>62</v>
      </c>
      <c r="H25" s="6"/>
      <c r="I25" s="111">
        <f>Phosphorous</f>
        <v>0.66</v>
      </c>
      <c r="J25" s="6"/>
      <c r="K25" s="17">
        <f>E25*I25</f>
        <v>6.6000000000000005</v>
      </c>
      <c r="L25" s="154"/>
      <c r="M25" s="532"/>
      <c r="N25" s="532"/>
      <c r="O25" s="532"/>
      <c r="P25" s="532"/>
      <c r="Q25" s="532"/>
      <c r="R25" s="532"/>
      <c r="S25" s="532"/>
      <c r="T25" s="532"/>
      <c r="U25" s="532"/>
      <c r="V25" s="532"/>
      <c r="W25" s="532"/>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v>
      </c>
      <c r="F26" s="6"/>
      <c r="G26" s="16" t="s">
        <v>62</v>
      </c>
      <c r="H26" s="6"/>
      <c r="I26" s="111">
        <f>Sulfur</f>
        <v>0.56000000000000005</v>
      </c>
      <c r="J26" s="6"/>
      <c r="K26" s="17">
        <f>E26*I26</f>
        <v>0.56000000000000005</v>
      </c>
      <c r="L26" s="154"/>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54"/>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row>
    <row r="28" spans="2:38" ht="12.75" x14ac:dyDescent="0.2">
      <c r="B28" s="6"/>
      <c r="C28" s="6"/>
      <c r="D28" s="6"/>
      <c r="E28" s="34"/>
      <c r="F28" s="6"/>
      <c r="G28" s="7"/>
      <c r="H28" s="6"/>
      <c r="I28" s="49"/>
      <c r="J28" s="6"/>
      <c r="K28" s="17"/>
      <c r="L28" s="154"/>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SUM(K30:K35)</f>
        <v>34.944000000000003</v>
      </c>
      <c r="L29" s="154"/>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16</v>
      </c>
      <c r="F30" s="6"/>
      <c r="G30" s="104" t="s">
        <v>64</v>
      </c>
      <c r="H30" s="6"/>
      <c r="I30" s="111">
        <f>Glyphosphate</f>
        <v>0.2</v>
      </c>
      <c r="J30" s="6"/>
      <c r="K30" s="17">
        <f t="shared" ref="K30:K34" si="0">E30*I30</f>
        <v>3.2</v>
      </c>
      <c r="L30" s="154"/>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row>
    <row r="31" spans="2:38" ht="12.75" x14ac:dyDescent="0.2">
      <c r="B31" s="6"/>
      <c r="C31" s="43" t="s">
        <v>571</v>
      </c>
      <c r="D31" s="6"/>
      <c r="E31" s="112">
        <v>1.7</v>
      </c>
      <c r="F31" s="6"/>
      <c r="G31" s="104" t="s">
        <v>62</v>
      </c>
      <c r="H31" s="6"/>
      <c r="I31" s="111">
        <f>AmSulf</f>
        <v>0.42</v>
      </c>
      <c r="J31" s="6"/>
      <c r="K31" s="17">
        <f t="shared" si="0"/>
        <v>0.71399999999999997</v>
      </c>
      <c r="L31" s="154"/>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row>
    <row r="32" spans="2:38" ht="12.75" x14ac:dyDescent="0.2">
      <c r="B32" s="6"/>
      <c r="C32" s="43" t="s">
        <v>116</v>
      </c>
      <c r="D32" s="6"/>
      <c r="E32" s="112">
        <v>16.399999999999999</v>
      </c>
      <c r="F32" s="6"/>
      <c r="G32" s="104" t="s">
        <v>64</v>
      </c>
      <c r="H32" s="6"/>
      <c r="I32" s="111">
        <f>Axial</f>
        <v>1.1000000000000001</v>
      </c>
      <c r="J32" s="6"/>
      <c r="K32" s="17">
        <f t="shared" si="0"/>
        <v>18.04</v>
      </c>
      <c r="L32" s="154"/>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row>
    <row r="33" spans="1:38" ht="12.75" x14ac:dyDescent="0.2">
      <c r="B33" s="6"/>
      <c r="C33" s="43" t="s">
        <v>434</v>
      </c>
      <c r="D33" s="6"/>
      <c r="E33" s="112">
        <v>17</v>
      </c>
      <c r="F33" s="6"/>
      <c r="G33" s="104" t="s">
        <v>64</v>
      </c>
      <c r="H33" s="6"/>
      <c r="I33" s="111">
        <f>Orion</f>
        <v>0.51</v>
      </c>
      <c r="J33" s="6"/>
      <c r="K33" s="17">
        <f t="shared" si="0"/>
        <v>8.67</v>
      </c>
      <c r="L33" s="154"/>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row>
    <row r="34" spans="1:38" ht="12.75" x14ac:dyDescent="0.2">
      <c r="B34" s="6"/>
      <c r="C34" s="43" t="s">
        <v>435</v>
      </c>
      <c r="D34" s="6"/>
      <c r="E34" s="112">
        <v>16</v>
      </c>
      <c r="F34" s="6"/>
      <c r="G34" s="104" t="s">
        <v>64</v>
      </c>
      <c r="H34" s="6"/>
      <c r="I34" s="111">
        <f>Brox2EC</f>
        <v>0.27</v>
      </c>
      <c r="J34" s="6"/>
      <c r="K34" s="17">
        <f t="shared" si="0"/>
        <v>4.32</v>
      </c>
      <c r="L34" s="154"/>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81"/>
      <c r="H35" s="6"/>
      <c r="I35" s="111"/>
      <c r="J35" s="6"/>
      <c r="K35" s="17"/>
      <c r="L35" s="154"/>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row>
    <row r="36" spans="1:38" ht="12.75" x14ac:dyDescent="0.2">
      <c r="B36" s="6"/>
      <c r="C36" s="6"/>
      <c r="D36" s="6"/>
      <c r="E36" s="47"/>
      <c r="F36" s="6"/>
      <c r="G36" s="7"/>
      <c r="H36" s="6"/>
      <c r="I36" s="49"/>
      <c r="J36" s="6"/>
      <c r="K36" s="17"/>
      <c r="L36" s="154"/>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row>
    <row r="37" spans="1:38" ht="12.75" x14ac:dyDescent="0.2">
      <c r="B37" s="6"/>
      <c r="C37" s="40" t="s">
        <v>14</v>
      </c>
      <c r="D37" s="6"/>
      <c r="E37" s="59"/>
      <c r="F37" s="6"/>
      <c r="G37" s="7"/>
      <c r="H37" s="6"/>
      <c r="I37" s="49"/>
      <c r="J37" s="6"/>
      <c r="K37" s="106">
        <f>SUM(K39:K42)</f>
        <v>36.658100000000005</v>
      </c>
      <c r="L37" s="154"/>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row>
    <row r="38" spans="1:38" ht="12.75" x14ac:dyDescent="0.2">
      <c r="A38" s="532"/>
      <c r="B38" s="6"/>
      <c r="C38" s="591" t="s">
        <v>457</v>
      </c>
      <c r="D38" s="6"/>
      <c r="E38" s="59"/>
      <c r="F38" s="6"/>
      <c r="G38" s="7"/>
      <c r="H38" s="6"/>
      <c r="I38" s="49"/>
      <c r="J38" s="6"/>
      <c r="K38" s="106"/>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row>
    <row r="39" spans="1:38" ht="12.75" x14ac:dyDescent="0.2">
      <c r="A39" s="505"/>
      <c r="B39" s="6"/>
      <c r="C39" s="130" t="s">
        <v>102</v>
      </c>
      <c r="D39" s="6"/>
      <c r="E39" s="33">
        <v>1</v>
      </c>
      <c r="F39" s="6"/>
      <c r="G39" s="16" t="s">
        <v>63</v>
      </c>
      <c r="H39" s="6"/>
      <c r="I39" s="109">
        <f>'Machinery Costs'!K396</f>
        <v>13.98</v>
      </c>
      <c r="J39" s="6"/>
      <c r="K39" s="17">
        <f>E39*I39</f>
        <v>13.98</v>
      </c>
      <c r="L39" s="154"/>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row>
    <row r="40" spans="1:38" ht="12.75" x14ac:dyDescent="0.2">
      <c r="B40" s="6"/>
      <c r="C40" s="30" t="s">
        <v>103</v>
      </c>
      <c r="D40" s="6"/>
      <c r="E40" s="33">
        <v>1</v>
      </c>
      <c r="F40" s="6"/>
      <c r="G40" s="16" t="s">
        <v>63</v>
      </c>
      <c r="H40" s="6"/>
      <c r="I40" s="109">
        <f>'Machinery Costs'!I396</f>
        <v>2.11</v>
      </c>
      <c r="J40" s="6"/>
      <c r="K40" s="17">
        <f>E40*I40</f>
        <v>2.11</v>
      </c>
      <c r="L40" s="154"/>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row>
    <row r="41" spans="1:38" ht="12.75" x14ac:dyDescent="0.2">
      <c r="B41" s="6"/>
      <c r="C41" s="30" t="s">
        <v>25</v>
      </c>
      <c r="D41" s="6"/>
      <c r="E41" s="33">
        <v>1</v>
      </c>
      <c r="F41" s="6"/>
      <c r="G41" s="16" t="s">
        <v>63</v>
      </c>
      <c r="H41" s="6"/>
      <c r="I41" s="109">
        <f>'Machinery Costs'!H396</f>
        <v>7.5681000000000012</v>
      </c>
      <c r="J41" s="6"/>
      <c r="K41" s="17">
        <f>E41*I41</f>
        <v>7.5681000000000012</v>
      </c>
      <c r="L41" s="154"/>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row>
    <row r="42" spans="1:38" ht="12.75" x14ac:dyDescent="0.2">
      <c r="B42" s="6"/>
      <c r="C42" s="30" t="s">
        <v>54</v>
      </c>
      <c r="D42" s="6"/>
      <c r="E42" s="110">
        <f>'Machinery Costs'!L396</f>
        <v>0.65</v>
      </c>
      <c r="F42" s="6"/>
      <c r="G42" s="104" t="s">
        <v>57</v>
      </c>
      <c r="H42" s="6"/>
      <c r="I42" s="111">
        <f>MachLabor</f>
        <v>20</v>
      </c>
      <c r="J42" s="6"/>
      <c r="K42" s="17">
        <f>E42*I42</f>
        <v>13</v>
      </c>
      <c r="L42" s="154"/>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row>
    <row r="43" spans="1:38" ht="12.75" x14ac:dyDescent="0.2">
      <c r="B43" s="6"/>
      <c r="C43" s="6"/>
      <c r="D43" s="6"/>
      <c r="E43" s="34"/>
      <c r="F43" s="6"/>
      <c r="G43" s="7"/>
      <c r="H43" s="6"/>
      <c r="I43" s="49"/>
      <c r="J43" s="6"/>
      <c r="K43" s="17"/>
      <c r="L43" s="154"/>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row>
    <row r="44" spans="1:38" ht="12.75" x14ac:dyDescent="0.2">
      <c r="B44" s="6"/>
      <c r="C44" s="40" t="s">
        <v>39</v>
      </c>
      <c r="D44" s="6"/>
      <c r="E44" s="59"/>
      <c r="F44" s="6"/>
      <c r="G44" s="7"/>
      <c r="H44" s="6"/>
      <c r="I44" s="49"/>
      <c r="J44" s="6"/>
      <c r="K44" s="106">
        <f>SUM(K45:K47)</f>
        <v>0</v>
      </c>
      <c r="L44" s="154"/>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row>
    <row r="45" spans="1:38" ht="12.75" x14ac:dyDescent="0.2">
      <c r="B45" s="6"/>
      <c r="C45" s="15" t="s">
        <v>93</v>
      </c>
      <c r="D45" s="6"/>
      <c r="E45" s="114">
        <v>0</v>
      </c>
      <c r="F45" s="6"/>
      <c r="G45" s="16" t="s">
        <v>63</v>
      </c>
      <c r="H45" s="6"/>
      <c r="I45" s="111">
        <f>Sprayer</f>
        <v>2</v>
      </c>
      <c r="J45" s="6"/>
      <c r="K45" s="17">
        <f>E45*I45</f>
        <v>0</v>
      </c>
      <c r="L45" s="154"/>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row>
    <row r="46" spans="1:38" ht="12.75" x14ac:dyDescent="0.2">
      <c r="B46" s="6"/>
      <c r="C46" s="15" t="s">
        <v>66</v>
      </c>
      <c r="D46" s="6"/>
      <c r="E46" s="114">
        <v>0</v>
      </c>
      <c r="F46" s="6"/>
      <c r="G46" s="16" t="s">
        <v>63</v>
      </c>
      <c r="H46" s="6"/>
      <c r="I46" s="111">
        <f>Shooter</f>
        <v>2.5</v>
      </c>
      <c r="J46" s="6"/>
      <c r="K46" s="17">
        <f>E46*I46</f>
        <v>0</v>
      </c>
      <c r="L46" s="154"/>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row>
    <row r="47" spans="1:38" ht="12.75" x14ac:dyDescent="0.2">
      <c r="B47" s="6"/>
      <c r="C47" s="43" t="s">
        <v>70</v>
      </c>
      <c r="D47" s="6"/>
      <c r="E47" s="114">
        <v>0</v>
      </c>
      <c r="F47" s="6"/>
      <c r="G47" s="104" t="s">
        <v>63</v>
      </c>
      <c r="H47" s="6"/>
      <c r="I47" s="111">
        <f>Aerial</f>
        <v>8.6999999999999993</v>
      </c>
      <c r="J47" s="6"/>
      <c r="K47" s="17">
        <f>E47*I47</f>
        <v>0</v>
      </c>
      <c r="L47" s="154"/>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row>
    <row r="48" spans="1:38" ht="8.25" customHeight="1" x14ac:dyDescent="0.2">
      <c r="B48" s="6"/>
      <c r="C48" s="40"/>
      <c r="D48" s="6"/>
      <c r="E48" s="34"/>
      <c r="F48" s="6"/>
      <c r="G48" s="7"/>
      <c r="H48" s="6"/>
      <c r="I48" s="49"/>
      <c r="J48" s="6"/>
      <c r="K48" s="106"/>
      <c r="L48" s="154"/>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row>
    <row r="49" spans="2:38" ht="15.75" customHeight="1" x14ac:dyDescent="0.2">
      <c r="B49" s="6"/>
      <c r="C49" s="40" t="s">
        <v>234</v>
      </c>
      <c r="D49" s="6"/>
      <c r="E49" s="34"/>
      <c r="F49" s="6"/>
      <c r="G49" s="7"/>
      <c r="H49" s="6"/>
      <c r="I49" s="49"/>
      <c r="J49" s="6"/>
      <c r="K49" s="106">
        <f>SUM(K50:K60)</f>
        <v>13.90625</v>
      </c>
      <c r="L49" s="154"/>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row>
    <row r="50" spans="2:38" ht="3" customHeight="1" x14ac:dyDescent="0.2">
      <c r="B50" s="6"/>
      <c r="C50" s="40"/>
      <c r="D50" s="6"/>
      <c r="E50" s="34"/>
      <c r="F50" s="6"/>
      <c r="G50" s="7"/>
      <c r="H50" s="6"/>
      <c r="I50" s="49"/>
      <c r="J50" s="6"/>
      <c r="K50" s="209"/>
      <c r="L50" s="154"/>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row>
    <row r="51" spans="2:38" ht="12.75" x14ac:dyDescent="0.2">
      <c r="B51" s="6"/>
      <c r="C51" s="130" t="s">
        <v>231</v>
      </c>
      <c r="D51" s="6"/>
      <c r="E51" s="114">
        <v>0</v>
      </c>
      <c r="F51" s="6"/>
      <c r="G51" s="104" t="s">
        <v>275</v>
      </c>
      <c r="H51" s="6"/>
      <c r="I51" s="248">
        <f>E53*E54*(E16*2000/48)</f>
        <v>0.625</v>
      </c>
      <c r="J51" s="6"/>
      <c r="K51" s="209">
        <f>E51*I51</f>
        <v>0</v>
      </c>
      <c r="L51" s="154"/>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row>
    <row r="52" spans="2:38" ht="12.75" x14ac:dyDescent="0.2">
      <c r="B52" s="6"/>
      <c r="C52" s="56" t="s">
        <v>549</v>
      </c>
      <c r="D52" s="56"/>
      <c r="E52" s="6"/>
      <c r="F52" s="61"/>
      <c r="G52" s="6"/>
      <c r="H52" s="61"/>
      <c r="I52" s="6"/>
      <c r="J52" s="61"/>
      <c r="K52" s="106"/>
      <c r="L52" s="478"/>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row>
    <row r="53" spans="2:38" ht="14.25" customHeight="1" x14ac:dyDescent="0.2">
      <c r="B53" s="6"/>
      <c r="C53" s="243" t="s">
        <v>441</v>
      </c>
      <c r="D53" s="56"/>
      <c r="E53" s="111">
        <f>BarleyStorage</f>
        <v>0.02</v>
      </c>
      <c r="F53" s="61"/>
      <c r="G53" s="6"/>
      <c r="H53" s="61"/>
      <c r="I53" s="6"/>
      <c r="J53" s="61"/>
      <c r="K53" s="106"/>
      <c r="L53" s="478"/>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row>
    <row r="54" spans="2:38" ht="12.75" x14ac:dyDescent="0.2">
      <c r="B54" s="6"/>
      <c r="C54" s="243" t="s">
        <v>229</v>
      </c>
      <c r="D54" s="6"/>
      <c r="E54" s="247">
        <v>0.5</v>
      </c>
      <c r="F54" s="6"/>
      <c r="G54" s="61"/>
      <c r="H54" s="6"/>
      <c r="I54" s="61"/>
      <c r="J54" s="6"/>
      <c r="K54" s="106"/>
      <c r="L54" s="154"/>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row>
    <row r="55" spans="2:38" ht="12.75" x14ac:dyDescent="0.2">
      <c r="B55" s="6"/>
      <c r="C55" s="56"/>
      <c r="D55" s="6"/>
      <c r="E55" s="61"/>
      <c r="F55" s="6"/>
      <c r="G55" s="61"/>
      <c r="H55" s="6"/>
      <c r="I55" s="61"/>
      <c r="J55" s="6"/>
      <c r="K55" s="106"/>
      <c r="L55" s="154"/>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row>
    <row r="56" spans="2:38" ht="12.75" x14ac:dyDescent="0.2">
      <c r="B56" s="6"/>
      <c r="C56" s="130" t="s">
        <v>548</v>
      </c>
      <c r="D56" s="6"/>
      <c r="E56" s="244">
        <f>E16*2000/48</f>
        <v>62.5</v>
      </c>
      <c r="F56" s="6"/>
      <c r="G56" s="104" t="s">
        <v>91</v>
      </c>
      <c r="H56" s="6"/>
      <c r="I56" s="248">
        <f>(E58*E59)/E60</f>
        <v>0.2225</v>
      </c>
      <c r="J56" s="6"/>
      <c r="K56" s="209">
        <f>E56*I56</f>
        <v>13.90625</v>
      </c>
      <c r="L56" s="154"/>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row>
    <row r="57" spans="2:38" ht="12" customHeight="1" x14ac:dyDescent="0.2">
      <c r="B57" s="6"/>
      <c r="C57" s="56" t="s">
        <v>550</v>
      </c>
      <c r="D57" s="6"/>
      <c r="E57" s="61"/>
      <c r="F57" s="6"/>
      <c r="G57" s="61"/>
      <c r="H57" s="6"/>
      <c r="I57" s="61"/>
      <c r="J57" s="6"/>
      <c r="K57" s="106"/>
      <c r="L57" s="154"/>
      <c r="M57" s="532"/>
      <c r="N57" s="532"/>
      <c r="O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row>
    <row r="58" spans="2:38" ht="12" customHeight="1" x14ac:dyDescent="0.2">
      <c r="B58" s="6"/>
      <c r="C58" s="243" t="s">
        <v>216</v>
      </c>
      <c r="D58" s="6"/>
      <c r="E58" s="114">
        <v>100</v>
      </c>
      <c r="F58" s="6"/>
      <c r="G58" s="61"/>
      <c r="H58" s="6"/>
      <c r="I58" s="61"/>
      <c r="J58" s="6"/>
      <c r="K58" s="106"/>
      <c r="L58" s="154"/>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row>
    <row r="59" spans="2:38" ht="12" customHeight="1" x14ac:dyDescent="0.2">
      <c r="B59" s="6"/>
      <c r="C59" s="243" t="s">
        <v>215</v>
      </c>
      <c r="D59" s="6"/>
      <c r="E59" s="245">
        <v>2.67</v>
      </c>
      <c r="F59" s="6"/>
      <c r="G59" s="61"/>
      <c r="H59" s="6"/>
      <c r="I59" s="61"/>
      <c r="J59" s="6"/>
      <c r="K59" s="106"/>
      <c r="L59" s="154"/>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row>
    <row r="60" spans="2:38" ht="12" customHeight="1" x14ac:dyDescent="0.2">
      <c r="B60" s="6"/>
      <c r="C60" s="243" t="s">
        <v>440</v>
      </c>
      <c r="D60" s="6"/>
      <c r="E60" s="114">
        <v>1200</v>
      </c>
      <c r="F60" s="6"/>
      <c r="G60" s="61"/>
      <c r="H60" s="6"/>
      <c r="I60" s="61"/>
      <c r="J60" s="6"/>
      <c r="K60" s="106"/>
      <c r="L60" s="154"/>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61"/>
      <c r="F61" s="6"/>
      <c r="G61" s="61"/>
      <c r="H61" s="6"/>
      <c r="I61" s="61"/>
      <c r="J61" s="6"/>
      <c r="K61" s="106"/>
      <c r="L61" s="154"/>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row>
    <row r="62" spans="2:38" ht="12.75" x14ac:dyDescent="0.2">
      <c r="B62" s="6"/>
      <c r="C62" s="40" t="s">
        <v>40</v>
      </c>
      <c r="D62" s="6"/>
      <c r="E62" s="34"/>
      <c r="F62" s="6"/>
      <c r="G62" s="7"/>
      <c r="H62" s="6"/>
      <c r="I62" s="49"/>
      <c r="J62" s="6"/>
      <c r="K62" s="106">
        <f>SUM(K63:K65)</f>
        <v>12.7</v>
      </c>
      <c r="L62" s="154"/>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row>
    <row r="63" spans="2:38" ht="12.75" x14ac:dyDescent="0.2">
      <c r="B63" s="6"/>
      <c r="C63" s="15" t="s">
        <v>65</v>
      </c>
      <c r="D63" s="6"/>
      <c r="E63" s="33">
        <v>1</v>
      </c>
      <c r="F63" s="6"/>
      <c r="G63" s="16" t="s">
        <v>63</v>
      </c>
      <c r="H63" s="6"/>
      <c r="I63" s="113">
        <f>ciSB</f>
        <v>12.7</v>
      </c>
      <c r="J63" s="6"/>
      <c r="K63" s="17">
        <f>E63*I63</f>
        <v>12.7</v>
      </c>
      <c r="L63" s="154"/>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row>
    <row r="64" spans="2:38" ht="12.75" x14ac:dyDescent="0.2">
      <c r="B64" s="6"/>
      <c r="C64" s="30" t="s">
        <v>53</v>
      </c>
      <c r="D64" s="6"/>
      <c r="E64" s="33"/>
      <c r="F64" s="6"/>
      <c r="G64" s="16"/>
      <c r="H64" s="6"/>
      <c r="I64" s="35"/>
      <c r="J64" s="6"/>
      <c r="K64" s="17">
        <f>E64*I64</f>
        <v>0</v>
      </c>
      <c r="L64" s="154"/>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row>
    <row r="65" spans="1:38" ht="12.75" x14ac:dyDescent="0.2">
      <c r="B65" s="6"/>
      <c r="C65" s="30" t="s">
        <v>86</v>
      </c>
      <c r="D65" s="6"/>
      <c r="E65" s="33"/>
      <c r="F65" s="6"/>
      <c r="G65" s="104"/>
      <c r="H65" s="6"/>
      <c r="I65" s="35"/>
      <c r="J65" s="6"/>
      <c r="K65" s="17">
        <f>E65*I65</f>
        <v>0</v>
      </c>
      <c r="L65" s="154"/>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row>
    <row r="66" spans="1:38" ht="12.75" x14ac:dyDescent="0.2">
      <c r="B66" s="6"/>
      <c r="C66" s="6"/>
      <c r="D66" s="6"/>
      <c r="E66" s="34"/>
      <c r="F66" s="6"/>
      <c r="G66" s="7"/>
      <c r="H66" s="6"/>
      <c r="I66" s="34"/>
      <c r="J66" s="6"/>
      <c r="K66" s="17"/>
      <c r="L66" s="154"/>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row>
    <row r="67" spans="1:38" ht="14.25" x14ac:dyDescent="0.2">
      <c r="B67" s="6"/>
      <c r="C67" s="56" t="s">
        <v>235</v>
      </c>
      <c r="D67" s="6"/>
      <c r="E67" s="34"/>
      <c r="F67" s="6"/>
      <c r="G67" s="7"/>
      <c r="H67" s="6"/>
      <c r="I67" s="34"/>
      <c r="J67" s="6"/>
      <c r="K67" s="17">
        <f>+(K20+K23+K29+K37+K44+K49+K62)*Operloan*0.75</f>
        <v>6.7627913437500009</v>
      </c>
      <c r="L67" s="154"/>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row>
    <row r="68" spans="1:38" ht="12.75" x14ac:dyDescent="0.2">
      <c r="B68" s="6"/>
      <c r="C68" s="56"/>
      <c r="D68" s="6"/>
      <c r="E68" s="34"/>
      <c r="F68" s="6"/>
      <c r="G68" s="7"/>
      <c r="H68" s="6"/>
      <c r="I68" s="34"/>
      <c r="J68" s="6"/>
      <c r="K68" s="17"/>
      <c r="L68" s="154"/>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ht="12.75" x14ac:dyDescent="0.2">
      <c r="B69" s="40"/>
      <c r="C69" s="40" t="s">
        <v>85</v>
      </c>
      <c r="D69" s="40"/>
      <c r="E69" s="53"/>
      <c r="F69" s="40"/>
      <c r="G69" s="41"/>
      <c r="H69" s="40"/>
      <c r="I69" s="53"/>
      <c r="J69" s="40"/>
      <c r="K69" s="42">
        <f>SUM(K20,K23,K29,K37,K44,K49,K62,K67)</f>
        <v>163.58114134375001</v>
      </c>
      <c r="L69" s="154"/>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row>
    <row r="70" spans="1:38" s="37" customFormat="1" ht="12.75" x14ac:dyDescent="0.2">
      <c r="A70" s="200"/>
      <c r="B70" s="9"/>
      <c r="C70" s="6"/>
      <c r="D70" s="6"/>
      <c r="E70" s="34"/>
      <c r="F70" s="6"/>
      <c r="G70" s="7"/>
      <c r="H70" s="6"/>
      <c r="I70" s="34"/>
      <c r="J70" s="6"/>
      <c r="K70" s="1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row>
    <row r="71" spans="1:38" ht="12.75" x14ac:dyDescent="0.2">
      <c r="B71" s="9"/>
      <c r="C71" s="50" t="s">
        <v>303</v>
      </c>
      <c r="D71" s="50"/>
      <c r="E71" s="51"/>
      <c r="F71" s="50"/>
      <c r="G71" s="52"/>
      <c r="H71" s="50"/>
      <c r="I71" s="51"/>
      <c r="J71" s="50"/>
      <c r="K71" s="73">
        <f>K16-(K69)</f>
        <v>121.41885865624999</v>
      </c>
      <c r="L71" s="154"/>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row>
    <row r="72" spans="1:38" ht="12.75" x14ac:dyDescent="0.2">
      <c r="B72" s="9"/>
      <c r="C72" s="193"/>
      <c r="D72" s="193"/>
      <c r="E72" s="194"/>
      <c r="F72" s="193"/>
      <c r="G72" s="195"/>
      <c r="H72" s="193"/>
      <c r="I72" s="194"/>
      <c r="J72" s="193"/>
      <c r="K72" s="196"/>
      <c r="L72" s="154"/>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row>
    <row r="73" spans="1:38" ht="12.75" x14ac:dyDescent="0.2">
      <c r="B73" s="6"/>
      <c r="C73" s="5" t="s">
        <v>189</v>
      </c>
      <c r="D73" s="6"/>
      <c r="E73" s="34"/>
      <c r="F73" s="6"/>
      <c r="G73" s="7"/>
      <c r="H73" s="6"/>
      <c r="I73" s="34"/>
      <c r="J73" s="6"/>
      <c r="K73" s="17"/>
      <c r="L73" s="154"/>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row>
    <row r="74" spans="1:38" ht="12.75" x14ac:dyDescent="0.2">
      <c r="B74" s="6"/>
      <c r="C74" s="679" t="s">
        <v>100</v>
      </c>
      <c r="D74" s="679"/>
      <c r="E74" s="679"/>
      <c r="F74" s="6"/>
      <c r="G74" s="16" t="s">
        <v>63</v>
      </c>
      <c r="H74" s="6"/>
      <c r="I74" s="109">
        <f>'Machinery Costs'!D396</f>
        <v>14.4663</v>
      </c>
      <c r="J74" s="6"/>
      <c r="K74" s="17">
        <f>I74</f>
        <v>14.4663</v>
      </c>
      <c r="L74" s="154"/>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row>
    <row r="75" spans="1:38" ht="12.75" x14ac:dyDescent="0.2">
      <c r="B75" s="6"/>
      <c r="C75" s="679" t="s">
        <v>101</v>
      </c>
      <c r="D75" s="679"/>
      <c r="E75" s="679"/>
      <c r="F75" s="6"/>
      <c r="G75" s="16" t="s">
        <v>63</v>
      </c>
      <c r="H75" s="6"/>
      <c r="I75" s="109">
        <f>'Machinery Costs'!E396</f>
        <v>12.098999999999998</v>
      </c>
      <c r="J75" s="6"/>
      <c r="K75" s="17">
        <f>I75</f>
        <v>12.098999999999998</v>
      </c>
      <c r="L75" s="154"/>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row>
    <row r="76" spans="1:38" ht="12.75" x14ac:dyDescent="0.2">
      <c r="B76" s="6"/>
      <c r="C76" s="679" t="s">
        <v>3</v>
      </c>
      <c r="D76" s="679"/>
      <c r="E76" s="679"/>
      <c r="F76" s="6"/>
      <c r="G76" s="16" t="s">
        <v>63</v>
      </c>
      <c r="H76" s="6"/>
      <c r="I76" s="109">
        <f>'Machinery Costs'!F396</f>
        <v>6.3446999999999996</v>
      </c>
      <c r="J76" s="6"/>
      <c r="K76" s="17">
        <f>I76</f>
        <v>6.3446999999999996</v>
      </c>
      <c r="L76" s="154"/>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row>
    <row r="77" spans="1:38" ht="12.75" hidden="1" x14ac:dyDescent="0.2">
      <c r="B77" s="6"/>
      <c r="C77" s="480"/>
      <c r="D77" s="480"/>
      <c r="E77" s="480"/>
      <c r="F77" s="6"/>
      <c r="G77" s="16"/>
      <c r="H77" s="6"/>
      <c r="I77" s="109"/>
      <c r="J77" s="6"/>
      <c r="K77" s="17"/>
      <c r="L77" s="154"/>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row>
    <row r="78" spans="1:38" ht="12.75" x14ac:dyDescent="0.2">
      <c r="B78" s="6"/>
      <c r="C78" s="683" t="s">
        <v>551</v>
      </c>
      <c r="D78" s="679"/>
      <c r="E78" s="679"/>
      <c r="F78" s="6"/>
      <c r="G78" s="16" t="s">
        <v>63</v>
      </c>
      <c r="H78" s="6"/>
      <c r="I78" s="64">
        <f>ROUND((E16*I16)*E80-(K23+K29+I63)*E80, 0)</f>
        <v>65</v>
      </c>
      <c r="J78" s="6"/>
      <c r="K78" s="17">
        <f>+I78</f>
        <v>65</v>
      </c>
      <c r="L78" s="154"/>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row>
    <row r="79" spans="1:38" ht="12.75" x14ac:dyDescent="0.2">
      <c r="B79" s="6"/>
      <c r="C79" s="56" t="s">
        <v>556</v>
      </c>
      <c r="D79" s="6"/>
      <c r="E79" s="34"/>
      <c r="F79" s="6"/>
      <c r="G79" s="7"/>
      <c r="H79" s="6"/>
      <c r="I79" s="70"/>
      <c r="J79" s="6"/>
      <c r="K79" s="17"/>
      <c r="L79" s="154"/>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row>
    <row r="80" spans="1:38" ht="12.75" x14ac:dyDescent="0.2">
      <c r="B80" s="6"/>
      <c r="C80" s="6" t="s">
        <v>96</v>
      </c>
      <c r="D80" s="6"/>
      <c r="E80" s="632">
        <v>0.33300000000000002</v>
      </c>
      <c r="F80" s="6"/>
      <c r="G80" s="7"/>
      <c r="H80" s="6"/>
      <c r="I80" s="49"/>
      <c r="J80" s="6"/>
      <c r="K80" s="17"/>
      <c r="L80" s="154"/>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row>
    <row r="81" spans="1:38" ht="12.75" x14ac:dyDescent="0.2">
      <c r="B81" s="6"/>
      <c r="C81" s="6" t="s">
        <v>97</v>
      </c>
      <c r="D81" s="6"/>
      <c r="E81" s="632">
        <v>0.66600000000000004</v>
      </c>
      <c r="F81" s="6"/>
      <c r="G81" s="7"/>
      <c r="H81" s="6"/>
      <c r="I81" s="49"/>
      <c r="J81" s="6"/>
      <c r="K81" s="17"/>
      <c r="L81" s="154"/>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row>
    <row r="82" spans="1:38" ht="5.25" customHeight="1" x14ac:dyDescent="0.2">
      <c r="B82" s="6"/>
      <c r="C82" s="34"/>
      <c r="D82" s="34"/>
      <c r="E82" s="34"/>
      <c r="F82" s="34"/>
      <c r="G82" s="34"/>
      <c r="H82" s="34"/>
      <c r="I82" s="34"/>
      <c r="J82" s="6"/>
      <c r="K82" s="17"/>
      <c r="L82" s="154"/>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row>
    <row r="83" spans="1:38" ht="12.75" x14ac:dyDescent="0.2">
      <c r="B83" s="6"/>
      <c r="C83" s="683" t="s">
        <v>34</v>
      </c>
      <c r="D83" s="679"/>
      <c r="E83" s="679"/>
      <c r="F83" s="6"/>
      <c r="G83" s="16" t="s">
        <v>63</v>
      </c>
      <c r="H83" s="6"/>
      <c r="I83" s="111">
        <f>Cashrent</f>
        <v>0</v>
      </c>
      <c r="J83" s="6"/>
      <c r="K83" s="17">
        <f>I83</f>
        <v>0</v>
      </c>
      <c r="L83" s="154"/>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row>
    <row r="84" spans="1:38" ht="14.25" x14ac:dyDescent="0.2">
      <c r="B84" s="6"/>
      <c r="C84" s="679" t="s">
        <v>236</v>
      </c>
      <c r="D84" s="679"/>
      <c r="E84" s="679"/>
      <c r="F84" s="6"/>
      <c r="G84" s="16" t="s">
        <v>63</v>
      </c>
      <c r="H84" s="6"/>
      <c r="I84" s="64">
        <f>ROUND(($K$20+$K$23+$K$29+$K$37+$K$44+$K$49+$K$62)*OH, 0)</f>
        <v>4</v>
      </c>
      <c r="J84" s="6"/>
      <c r="K84" s="17">
        <f>I84</f>
        <v>4</v>
      </c>
      <c r="L84" s="154"/>
      <c r="M84" s="532"/>
      <c r="N84" s="532"/>
      <c r="O84" s="532"/>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row>
    <row r="85" spans="1:38" ht="14.25" x14ac:dyDescent="0.2">
      <c r="B85" s="6"/>
      <c r="C85" s="679" t="s">
        <v>237</v>
      </c>
      <c r="D85" s="679"/>
      <c r="E85" s="679"/>
      <c r="F85" s="6"/>
      <c r="G85" s="16" t="s">
        <v>63</v>
      </c>
      <c r="H85" s="6"/>
      <c r="I85" s="64">
        <f>ROUND(($K$16)*Mgmtfee, 0)</f>
        <v>14</v>
      </c>
      <c r="J85" s="6"/>
      <c r="K85" s="17">
        <f>I85</f>
        <v>14</v>
      </c>
      <c r="L85" s="154"/>
      <c r="M85" s="532"/>
      <c r="N85" s="532"/>
      <c r="O85" s="532"/>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row>
    <row r="86" spans="1:38" ht="12.75" x14ac:dyDescent="0.2">
      <c r="B86" s="6"/>
      <c r="C86" s="6"/>
      <c r="D86" s="6"/>
      <c r="E86" s="34"/>
      <c r="F86" s="6"/>
      <c r="G86" s="7"/>
      <c r="H86" s="6"/>
      <c r="I86" s="34"/>
      <c r="J86" s="6"/>
      <c r="K86" s="17"/>
      <c r="L86" s="154"/>
      <c r="M86" s="532"/>
      <c r="N86" s="532"/>
      <c r="O86" s="532"/>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row>
    <row r="87" spans="1:38" ht="12.75" x14ac:dyDescent="0.2">
      <c r="B87" s="40"/>
      <c r="C87" s="40" t="s">
        <v>84</v>
      </c>
      <c r="D87" s="40"/>
      <c r="E87" s="53"/>
      <c r="F87" s="40"/>
      <c r="G87" s="41"/>
      <c r="H87" s="40"/>
      <c r="I87" s="53"/>
      <c r="J87" s="40"/>
      <c r="K87" s="42">
        <f>SUM(K74:K85)</f>
        <v>115.91</v>
      </c>
      <c r="L87" s="154"/>
      <c r="M87" s="532"/>
      <c r="N87" s="532"/>
      <c r="O87" s="53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row>
    <row r="88" spans="1:38" ht="12.75" x14ac:dyDescent="0.2">
      <c r="B88" s="6"/>
      <c r="C88" s="6"/>
      <c r="D88" s="6"/>
      <c r="E88" s="34"/>
      <c r="F88" s="6"/>
      <c r="G88" s="7"/>
      <c r="H88" s="6"/>
      <c r="I88" s="34"/>
      <c r="J88" s="6"/>
      <c r="K88" s="17"/>
      <c r="L88" s="154"/>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row>
    <row r="89" spans="1:38" ht="12.75" x14ac:dyDescent="0.2">
      <c r="B89" s="40"/>
      <c r="C89" s="40" t="s">
        <v>26</v>
      </c>
      <c r="D89" s="40"/>
      <c r="E89" s="53"/>
      <c r="F89" s="40"/>
      <c r="G89" s="41"/>
      <c r="H89" s="40"/>
      <c r="I89" s="53"/>
      <c r="J89" s="40"/>
      <c r="K89" s="42">
        <f>K69+K87</f>
        <v>279.49114134374997</v>
      </c>
      <c r="L89" s="154"/>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row>
    <row r="90" spans="1:38" s="38" customFormat="1" ht="12.75" x14ac:dyDescent="0.2">
      <c r="A90" s="89"/>
      <c r="B90" s="9"/>
      <c r="C90" s="56"/>
      <c r="D90" s="56"/>
      <c r="E90" s="61"/>
      <c r="F90" s="56"/>
      <c r="G90" s="57"/>
      <c r="H90" s="56"/>
      <c r="I90" s="61"/>
      <c r="J90" s="56"/>
      <c r="K90" s="17"/>
      <c r="L90" s="89"/>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row>
    <row r="91" spans="1:38" ht="12.75" x14ac:dyDescent="0.2">
      <c r="B91" s="9"/>
      <c r="C91" s="9"/>
      <c r="D91" s="9"/>
      <c r="E91" s="58"/>
      <c r="F91" s="9"/>
      <c r="G91" s="13"/>
      <c r="H91" s="9"/>
      <c r="I91" s="58"/>
      <c r="J91" s="9"/>
      <c r="K91" s="183"/>
      <c r="L91" s="154"/>
      <c r="M91" s="532"/>
      <c r="N91" s="532"/>
      <c r="O91" s="532"/>
      <c r="P91" s="532"/>
      <c r="Q91" s="532"/>
      <c r="R91" s="532"/>
      <c r="S91" s="532"/>
      <c r="T91" s="532"/>
      <c r="U91" s="532"/>
      <c r="V91" s="532"/>
      <c r="W91" s="532"/>
      <c r="X91" s="532"/>
      <c r="Y91" s="532"/>
      <c r="Z91" s="532"/>
      <c r="AA91" s="532"/>
      <c r="AB91" s="532"/>
      <c r="AC91" s="532"/>
      <c r="AD91" s="532"/>
      <c r="AE91" s="532"/>
      <c r="AF91" s="532"/>
      <c r="AG91" s="532"/>
      <c r="AH91" s="532"/>
      <c r="AI91" s="532"/>
      <c r="AJ91" s="532"/>
      <c r="AK91" s="532"/>
      <c r="AL91" s="532"/>
    </row>
    <row r="92" spans="1:38" s="37" customFormat="1" ht="12.75" x14ac:dyDescent="0.2">
      <c r="A92" s="200"/>
      <c r="B92" s="9"/>
      <c r="C92" s="579" t="s">
        <v>442</v>
      </c>
      <c r="D92" s="579"/>
      <c r="E92" s="580"/>
      <c r="F92" s="579"/>
      <c r="G92" s="580"/>
      <c r="H92" s="579"/>
      <c r="I92" s="580"/>
      <c r="J92" s="579"/>
      <c r="K92" s="581">
        <f>K16-(K89)</f>
        <v>5.5088586562500268</v>
      </c>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row>
    <row r="93" spans="1:38" ht="14.25" customHeight="1" x14ac:dyDescent="0.2">
      <c r="B93" s="9"/>
      <c r="C93" s="290"/>
      <c r="D93" s="290"/>
      <c r="E93" s="291"/>
      <c r="F93" s="290"/>
      <c r="G93" s="291"/>
      <c r="H93" s="290"/>
      <c r="I93" s="291"/>
      <c r="J93" s="290"/>
      <c r="K93" s="292"/>
      <c r="L93" s="154"/>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row>
    <row r="94" spans="1:38" ht="12.75" x14ac:dyDescent="0.2">
      <c r="C94" s="44" t="s">
        <v>27</v>
      </c>
      <c r="D94" s="44"/>
      <c r="E94" s="62"/>
      <c r="F94" s="44"/>
      <c r="G94" s="45"/>
      <c r="H94" s="44"/>
      <c r="I94" s="62"/>
      <c r="J94" s="44"/>
      <c r="K94" s="44"/>
      <c r="M94" s="532"/>
      <c r="N94" s="532"/>
      <c r="O94" s="532"/>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row>
    <row r="95" spans="1:38" s="31" customFormat="1" ht="41.25" customHeight="1" x14ac:dyDescent="0.2">
      <c r="A95" s="154"/>
      <c r="C95" s="681" t="s">
        <v>476</v>
      </c>
      <c r="D95" s="681"/>
      <c r="E95" s="681"/>
      <c r="F95" s="681"/>
      <c r="G95" s="681"/>
      <c r="H95" s="681"/>
      <c r="I95" s="681"/>
      <c r="J95" s="681"/>
      <c r="K95" s="681"/>
      <c r="L95" s="154"/>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row>
    <row r="96" spans="1:38" s="31" customFormat="1" ht="14.25" x14ac:dyDescent="0.2">
      <c r="A96" s="154"/>
      <c r="B96" s="55"/>
      <c r="C96" s="680" t="s">
        <v>558</v>
      </c>
      <c r="D96" s="680"/>
      <c r="E96" s="680"/>
      <c r="F96" s="680"/>
      <c r="G96" s="680"/>
      <c r="H96" s="680"/>
      <c r="I96" s="680"/>
      <c r="J96" s="680"/>
      <c r="K96" s="680"/>
      <c r="L96" s="154"/>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row>
    <row r="97" spans="1:38" s="31" customFormat="1" ht="26.25" customHeight="1" x14ac:dyDescent="0.2">
      <c r="A97" s="154"/>
      <c r="C97" s="680" t="s">
        <v>555</v>
      </c>
      <c r="D97" s="680"/>
      <c r="E97" s="680"/>
      <c r="F97" s="680"/>
      <c r="G97" s="680"/>
      <c r="H97" s="680"/>
      <c r="I97" s="680"/>
      <c r="J97" s="680"/>
      <c r="K97" s="680"/>
      <c r="L97" s="154"/>
      <c r="M97" s="532"/>
      <c r="N97" s="532"/>
      <c r="O97" s="532"/>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row>
    <row r="98" spans="1:38" s="31" customFormat="1" ht="12.75" customHeight="1" x14ac:dyDescent="0.2">
      <c r="A98" s="154"/>
      <c r="B98" s="36"/>
      <c r="C98" s="680" t="s">
        <v>547</v>
      </c>
      <c r="D98" s="682"/>
      <c r="E98" s="682"/>
      <c r="F98" s="682"/>
      <c r="G98" s="682"/>
      <c r="H98" s="682"/>
      <c r="I98" s="682"/>
      <c r="J98" s="682"/>
      <c r="K98" s="682"/>
      <c r="L98" s="154"/>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row>
    <row r="99" spans="1:38" s="31" customFormat="1" ht="15" customHeight="1" x14ac:dyDescent="0.2">
      <c r="A99" s="154"/>
      <c r="B99" s="154"/>
      <c r="C99" s="676"/>
      <c r="D99" s="676"/>
      <c r="E99" s="676"/>
      <c r="F99" s="676"/>
      <c r="G99" s="676"/>
      <c r="H99" s="676"/>
      <c r="I99" s="676"/>
      <c r="J99" s="676"/>
      <c r="K99" s="676"/>
      <c r="L99" s="154"/>
      <c r="M99" s="532"/>
      <c r="N99" s="532"/>
      <c r="O99" s="532"/>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row>
    <row r="100" spans="1:38" ht="12.75" x14ac:dyDescent="0.2">
      <c r="B100" s="154"/>
      <c r="C100" s="6"/>
      <c r="D100" s="6"/>
      <c r="E100" s="34"/>
      <c r="F100" s="6"/>
      <c r="G100" s="7"/>
      <c r="H100" s="6"/>
      <c r="I100" s="34"/>
      <c r="J100" s="6"/>
      <c r="K100" s="6"/>
      <c r="L100" s="154"/>
      <c r="M100" s="532"/>
      <c r="N100" s="532"/>
      <c r="O100" s="532"/>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row>
    <row r="101" spans="1:38" ht="12.75" x14ac:dyDescent="0.2">
      <c r="A101" s="532"/>
      <c r="B101" s="532"/>
      <c r="C101" s="643" t="s">
        <v>563</v>
      </c>
      <c r="D101" s="636"/>
      <c r="E101" s="637" t="s">
        <v>72</v>
      </c>
      <c r="F101" s="636"/>
      <c r="G101" s="638" t="s">
        <v>559</v>
      </c>
      <c r="H101" s="6"/>
      <c r="I101" s="34"/>
      <c r="J101" s="6"/>
      <c r="K101" s="6"/>
      <c r="L101" s="532"/>
      <c r="M101" s="532"/>
      <c r="N101" s="532"/>
      <c r="O101" s="532"/>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row>
    <row r="102" spans="1:38" ht="12.75" x14ac:dyDescent="0.2">
      <c r="A102" s="532"/>
      <c r="B102" s="532"/>
      <c r="C102" s="644" t="s">
        <v>560</v>
      </c>
      <c r="D102" s="636"/>
      <c r="E102" s="639">
        <f>K69</f>
        <v>163.58114134375001</v>
      </c>
      <c r="F102" s="636"/>
      <c r="G102" s="641">
        <f>E102/$E$16</f>
        <v>109.05409422916667</v>
      </c>
      <c r="H102" s="6"/>
      <c r="I102" s="34"/>
      <c r="J102" s="6"/>
      <c r="K102" s="6"/>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row>
    <row r="103" spans="1:38" ht="12.75" x14ac:dyDescent="0.2">
      <c r="A103" s="532"/>
      <c r="B103" s="532"/>
      <c r="C103" s="644" t="s">
        <v>561</v>
      </c>
      <c r="D103" s="636"/>
      <c r="E103" s="639">
        <f>K87</f>
        <v>115.91</v>
      </c>
      <c r="F103" s="636"/>
      <c r="G103" s="641">
        <f>E103/$E$16</f>
        <v>77.273333333333326</v>
      </c>
      <c r="H103" s="6"/>
      <c r="I103" s="34"/>
      <c r="J103" s="6"/>
      <c r="K103" s="6"/>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row>
    <row r="104" spans="1:38" ht="12.75" x14ac:dyDescent="0.2">
      <c r="A104" s="532"/>
      <c r="B104" s="532"/>
      <c r="C104" s="644" t="s">
        <v>562</v>
      </c>
      <c r="D104" s="636"/>
      <c r="E104" s="639">
        <f>K89</f>
        <v>279.49114134374997</v>
      </c>
      <c r="F104" s="636"/>
      <c r="G104" s="641">
        <f>E104/$E$16</f>
        <v>186.32742756249999</v>
      </c>
      <c r="H104" s="6"/>
      <c r="I104" s="34"/>
      <c r="J104" s="6"/>
      <c r="K104" s="6"/>
      <c r="L104" s="532"/>
      <c r="M104" s="532"/>
      <c r="N104" s="532"/>
      <c r="O104" s="532"/>
      <c r="P104" s="532"/>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row>
    <row r="105" spans="1:38" ht="12.75" x14ac:dyDescent="0.2">
      <c r="A105" s="532"/>
      <c r="B105" s="532"/>
      <c r="C105" s="6"/>
      <c r="D105" s="6"/>
      <c r="E105" s="34"/>
      <c r="F105" s="6"/>
      <c r="G105" s="7"/>
      <c r="H105" s="6"/>
      <c r="I105" s="34"/>
      <c r="J105" s="6"/>
      <c r="K105" s="6"/>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row>
    <row r="106" spans="1:38" ht="12.75" x14ac:dyDescent="0.2">
      <c r="A106" s="532"/>
      <c r="B106" s="532"/>
      <c r="C106" s="6"/>
      <c r="D106" s="6"/>
      <c r="E106" s="34"/>
      <c r="F106" s="6"/>
      <c r="G106" s="7"/>
      <c r="H106" s="6"/>
      <c r="I106" s="34"/>
      <c r="J106" s="6"/>
      <c r="K106" s="6"/>
      <c r="L106" s="532"/>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row>
    <row r="107" spans="1:38" ht="12.75" x14ac:dyDescent="0.2">
      <c r="B107" s="154"/>
      <c r="C107" s="19" t="s">
        <v>28</v>
      </c>
      <c r="D107" s="6"/>
      <c r="E107" s="20" t="s">
        <v>29</v>
      </c>
      <c r="F107" s="6"/>
      <c r="G107" s="7"/>
      <c r="H107" s="6"/>
      <c r="I107" s="20" t="s">
        <v>31</v>
      </c>
      <c r="J107" s="6"/>
      <c r="K107" s="6"/>
      <c r="L107" s="154"/>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row>
    <row r="108" spans="1:38" ht="12.75" x14ac:dyDescent="0.2">
      <c r="B108" s="154"/>
      <c r="C108" s="6"/>
      <c r="D108" s="6"/>
      <c r="E108" s="21">
        <v>0.1</v>
      </c>
      <c r="F108" s="6"/>
      <c r="G108" s="7" t="s">
        <v>30</v>
      </c>
      <c r="H108" s="6"/>
      <c r="I108" s="21">
        <v>0.1</v>
      </c>
      <c r="J108" s="6"/>
      <c r="K108" s="6"/>
      <c r="L108" s="154"/>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row>
    <row r="109" spans="1:38" ht="12.75" x14ac:dyDescent="0.2">
      <c r="B109" s="154"/>
      <c r="C109" s="6"/>
      <c r="D109" s="6"/>
      <c r="E109" s="22"/>
      <c r="F109" s="3"/>
      <c r="G109" s="2" t="s">
        <v>32</v>
      </c>
      <c r="H109" s="3"/>
      <c r="I109" s="22"/>
      <c r="J109" s="6"/>
      <c r="K109" s="6"/>
      <c r="L109" s="154"/>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row>
    <row r="110" spans="1:38" ht="12.75" x14ac:dyDescent="0.2">
      <c r="B110" s="154"/>
      <c r="C110" s="23" t="s">
        <v>50</v>
      </c>
      <c r="D110" s="6"/>
      <c r="E110" s="83">
        <f>G110*(1-E108)</f>
        <v>1.35</v>
      </c>
      <c r="F110" s="24"/>
      <c r="G110" s="25">
        <f>E16</f>
        <v>1.5</v>
      </c>
      <c r="H110" s="24"/>
      <c r="I110" s="83">
        <f>G110*(1+I108)</f>
        <v>1.6500000000000001</v>
      </c>
      <c r="J110" s="6"/>
      <c r="K110" s="6"/>
      <c r="L110" s="154"/>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row>
    <row r="111" spans="1:38" ht="6" customHeight="1" x14ac:dyDescent="0.2">
      <c r="B111" s="154"/>
      <c r="C111" s="6"/>
      <c r="D111" s="6"/>
      <c r="E111" s="34"/>
      <c r="F111" s="6"/>
      <c r="G111" s="7"/>
      <c r="H111" s="6"/>
      <c r="I111" s="34"/>
      <c r="J111" s="6"/>
      <c r="K111" s="6"/>
      <c r="L111" s="154"/>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row>
    <row r="112" spans="1:38" ht="12.75" x14ac:dyDescent="0.2">
      <c r="B112" s="154"/>
      <c r="C112" s="495" t="s">
        <v>51</v>
      </c>
      <c r="D112" s="6"/>
      <c r="E112" s="649">
        <f>$K$69/E110</f>
        <v>121.17121581018517</v>
      </c>
      <c r="F112" s="650"/>
      <c r="G112" s="649">
        <f>$K$69/G110</f>
        <v>109.05409422916667</v>
      </c>
      <c r="H112" s="650"/>
      <c r="I112" s="649">
        <f>$K$69/I110</f>
        <v>99.140085662878789</v>
      </c>
      <c r="J112" s="6"/>
      <c r="K112" s="6"/>
      <c r="L112" s="154"/>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row>
    <row r="113" spans="2:38" ht="6" customHeight="1" x14ac:dyDescent="0.2">
      <c r="B113" s="154"/>
      <c r="C113" s="495"/>
      <c r="D113" s="6"/>
      <c r="E113" s="651"/>
      <c r="F113" s="650"/>
      <c r="G113" s="649"/>
      <c r="H113" s="650"/>
      <c r="I113" s="651"/>
      <c r="J113" s="6"/>
      <c r="K113" s="6"/>
      <c r="L113" s="154"/>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row>
    <row r="114" spans="2:38" ht="12.75" x14ac:dyDescent="0.2">
      <c r="B114" s="154"/>
      <c r="C114" s="495" t="s">
        <v>52</v>
      </c>
      <c r="D114" s="6"/>
      <c r="E114" s="649">
        <f>$K$87/E110</f>
        <v>85.859259259259247</v>
      </c>
      <c r="F114" s="650"/>
      <c r="G114" s="649">
        <f>$K$87/G110</f>
        <v>77.273333333333326</v>
      </c>
      <c r="H114" s="650"/>
      <c r="I114" s="649">
        <f>$K$87/I110</f>
        <v>70.248484848484836</v>
      </c>
      <c r="J114" s="6"/>
      <c r="K114" s="6"/>
      <c r="L114" s="154"/>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row>
    <row r="115" spans="2:38" ht="6" customHeight="1" x14ac:dyDescent="0.2">
      <c r="B115" s="154"/>
      <c r="C115" s="495"/>
      <c r="D115" s="6"/>
      <c r="E115" s="651"/>
      <c r="F115" s="650"/>
      <c r="G115" s="649"/>
      <c r="H115" s="650"/>
      <c r="I115" s="651"/>
      <c r="J115" s="6"/>
      <c r="K115" s="6"/>
      <c r="L115" s="154"/>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row>
    <row r="116" spans="2:38" ht="12.75" x14ac:dyDescent="0.2">
      <c r="B116" s="154"/>
      <c r="C116" s="495" t="s">
        <v>61</v>
      </c>
      <c r="D116" s="6"/>
      <c r="E116" s="649">
        <f>$K$89/E110</f>
        <v>207.03047506944441</v>
      </c>
      <c r="F116" s="650"/>
      <c r="G116" s="649">
        <f>$K$89/G110</f>
        <v>186.32742756249999</v>
      </c>
      <c r="H116" s="650"/>
      <c r="I116" s="649">
        <f>$K$89/I110</f>
        <v>169.38857051136361</v>
      </c>
      <c r="J116" s="6"/>
      <c r="K116" s="6"/>
      <c r="L116" s="154"/>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row>
    <row r="117" spans="2:38" ht="12.75" x14ac:dyDescent="0.2">
      <c r="B117" s="154"/>
      <c r="C117" s="496"/>
      <c r="D117" s="9"/>
      <c r="E117" s="58"/>
      <c r="F117" s="9"/>
      <c r="G117" s="13"/>
      <c r="H117" s="9"/>
      <c r="I117" s="58"/>
      <c r="J117" s="9"/>
      <c r="K117" s="9"/>
      <c r="L117" s="154"/>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row>
    <row r="118" spans="2:38" ht="12.75" x14ac:dyDescent="0.2">
      <c r="B118" s="154"/>
      <c r="C118" s="496"/>
      <c r="D118" s="9"/>
      <c r="E118" s="20" t="s">
        <v>29</v>
      </c>
      <c r="F118" s="6"/>
      <c r="G118" s="7"/>
      <c r="H118" s="6"/>
      <c r="I118" s="20" t="s">
        <v>31</v>
      </c>
      <c r="J118" s="9"/>
      <c r="K118" s="9"/>
      <c r="L118" s="154"/>
      <c r="M118" s="532"/>
      <c r="N118" s="532"/>
      <c r="O118" s="532"/>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row>
    <row r="119" spans="2:38" ht="12.75" x14ac:dyDescent="0.2">
      <c r="B119" s="154"/>
      <c r="C119" s="495"/>
      <c r="D119" s="6"/>
      <c r="E119" s="21">
        <v>0.1</v>
      </c>
      <c r="F119" s="6"/>
      <c r="G119" s="7" t="s">
        <v>30</v>
      </c>
      <c r="H119" s="6"/>
      <c r="I119" s="21">
        <v>0.1</v>
      </c>
      <c r="J119" s="6"/>
      <c r="K119" s="6"/>
      <c r="L119" s="154"/>
      <c r="M119" s="532"/>
      <c r="N119" s="532"/>
      <c r="O119" s="532"/>
      <c r="P119" s="532"/>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row>
    <row r="120" spans="2:38" ht="12.75" x14ac:dyDescent="0.2">
      <c r="B120" s="154"/>
      <c r="C120" s="495"/>
      <c r="D120" s="6"/>
      <c r="E120" s="2"/>
      <c r="F120" s="3"/>
      <c r="G120" s="4" t="s">
        <v>50</v>
      </c>
      <c r="H120" s="3"/>
      <c r="I120" s="2"/>
      <c r="J120" s="6"/>
      <c r="K120" s="6"/>
      <c r="L120" s="154"/>
      <c r="M120" s="532"/>
      <c r="N120" s="532"/>
      <c r="O120" s="532"/>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row>
    <row r="121" spans="2:38" ht="12.75" x14ac:dyDescent="0.2">
      <c r="B121" s="154"/>
      <c r="C121" s="497" t="s">
        <v>32</v>
      </c>
      <c r="D121" s="6"/>
      <c r="E121" s="646">
        <f>G121*(1-E119)</f>
        <v>171</v>
      </c>
      <c r="F121" s="647"/>
      <c r="G121" s="648">
        <f>I16</f>
        <v>190</v>
      </c>
      <c r="H121" s="647"/>
      <c r="I121" s="646">
        <f>G121*(1+I119)</f>
        <v>209.00000000000003</v>
      </c>
      <c r="J121" s="6"/>
      <c r="K121" s="6"/>
      <c r="L121" s="154"/>
      <c r="M121" s="532"/>
      <c r="N121" s="532"/>
      <c r="O121" s="532"/>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row>
    <row r="122" spans="2:38" ht="6" customHeight="1" x14ac:dyDescent="0.2">
      <c r="B122" s="154"/>
      <c r="C122" s="495"/>
      <c r="D122" s="6"/>
      <c r="E122" s="34"/>
      <c r="F122" s="6"/>
      <c r="G122" s="7"/>
      <c r="H122" s="6"/>
      <c r="I122" s="34"/>
      <c r="J122" s="6"/>
      <c r="K122" s="6"/>
      <c r="L122" s="154"/>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row>
    <row r="123" spans="2:38" ht="12.75" x14ac:dyDescent="0.2">
      <c r="B123" s="154"/>
      <c r="C123" s="495" t="s">
        <v>51</v>
      </c>
      <c r="D123" s="6"/>
      <c r="E123" s="598">
        <f>$K$69/E121</f>
        <v>0.95661486165935672</v>
      </c>
      <c r="F123" s="599"/>
      <c r="G123" s="598">
        <f>$K$69/G121</f>
        <v>0.8609533754934211</v>
      </c>
      <c r="H123" s="599"/>
      <c r="I123" s="598">
        <f>$K$69/I121</f>
        <v>0.78268488681220083</v>
      </c>
      <c r="J123" s="6"/>
      <c r="K123" s="6"/>
      <c r="L123" s="154"/>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row>
    <row r="124" spans="2:38" ht="6" customHeight="1" x14ac:dyDescent="0.2">
      <c r="B124" s="154"/>
      <c r="C124" s="495"/>
      <c r="D124" s="6"/>
      <c r="E124" s="600"/>
      <c r="F124" s="599"/>
      <c r="G124" s="598"/>
      <c r="H124" s="599"/>
      <c r="I124" s="600"/>
      <c r="J124" s="6"/>
      <c r="K124" s="6"/>
      <c r="L124" s="154"/>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row>
    <row r="125" spans="2:38" ht="12.75" x14ac:dyDescent="0.2">
      <c r="B125" s="154"/>
      <c r="C125" s="495" t="s">
        <v>52</v>
      </c>
      <c r="D125" s="6"/>
      <c r="E125" s="598">
        <f>$K$87/E121</f>
        <v>0.67783625730994146</v>
      </c>
      <c r="F125" s="599"/>
      <c r="G125" s="598">
        <f>$K$87/G121</f>
        <v>0.6100526315789474</v>
      </c>
      <c r="H125" s="599"/>
      <c r="I125" s="598">
        <f>$K$87/I121</f>
        <v>0.55459330143540664</v>
      </c>
      <c r="J125" s="6"/>
      <c r="K125" s="6"/>
      <c r="L125" s="154"/>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row>
    <row r="126" spans="2:38" ht="6" customHeight="1" x14ac:dyDescent="0.2">
      <c r="B126" s="154"/>
      <c r="C126" s="495"/>
      <c r="D126" s="6"/>
      <c r="E126" s="600"/>
      <c r="F126" s="599"/>
      <c r="G126" s="598"/>
      <c r="H126" s="599"/>
      <c r="I126" s="600"/>
      <c r="J126" s="6"/>
      <c r="K126" s="6"/>
      <c r="L126" s="154"/>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row>
    <row r="127" spans="2:38" ht="12.75" x14ac:dyDescent="0.2">
      <c r="B127" s="154"/>
      <c r="C127" s="495" t="s">
        <v>61</v>
      </c>
      <c r="D127" s="6"/>
      <c r="E127" s="598">
        <f>$K$89/E121</f>
        <v>1.6344511189692981</v>
      </c>
      <c r="F127" s="599"/>
      <c r="G127" s="598">
        <f>$K$89/G121</f>
        <v>1.4710060070723683</v>
      </c>
      <c r="H127" s="599"/>
      <c r="I127" s="598">
        <f>$K$89/I121</f>
        <v>1.3372781882476072</v>
      </c>
      <c r="J127" s="6"/>
      <c r="K127" s="6"/>
      <c r="L127" s="154"/>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2:38" ht="12.75" x14ac:dyDescent="0.2">
      <c r="L128" s="154"/>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row>
    <row r="129" spans="13:38" ht="12.95" customHeight="1" x14ac:dyDescent="0.2">
      <c r="M129" s="532"/>
      <c r="N129" s="532"/>
      <c r="O129" s="532"/>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row>
    <row r="130" spans="13:38" ht="12.95" customHeight="1" x14ac:dyDescent="0.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row>
    <row r="131" spans="13:38" ht="12.95" customHeight="1" x14ac:dyDescent="0.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row>
    <row r="132" spans="13:38" ht="12.95" customHeight="1" x14ac:dyDescent="0.2">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row>
    <row r="133" spans="13:38" ht="12.95" customHeight="1" x14ac:dyDescent="0.2">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row>
    <row r="134" spans="13:38" ht="12.95" customHeight="1" x14ac:dyDescent="0.2">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row>
    <row r="135" spans="13:38" ht="12.95" customHeight="1" x14ac:dyDescent="0.2">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row>
    <row r="136" spans="13:38" ht="12.95" customHeight="1" x14ac:dyDescent="0.2">
      <c r="M136" s="532"/>
      <c r="N136" s="532"/>
      <c r="O136" s="532"/>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row>
    <row r="137" spans="13:38" ht="12.95" customHeight="1" x14ac:dyDescent="0.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row>
    <row r="138" spans="13:38" ht="12.95" customHeight="1" x14ac:dyDescent="0.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row>
    <row r="139" spans="13:38" ht="12.95" customHeight="1" x14ac:dyDescent="0.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row>
    <row r="140" spans="13:38" ht="12.95" customHeight="1" x14ac:dyDescent="0.2">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row>
    <row r="141" spans="13:38" ht="12.95" customHeight="1" x14ac:dyDescent="0.2">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row>
    <row r="142" spans="13:38" ht="12.95" customHeight="1" x14ac:dyDescent="0.2">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row>
    <row r="143" spans="13:38" ht="12.95" customHeight="1" x14ac:dyDescent="0.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row>
    <row r="144" spans="13:38" ht="12.95" customHeight="1" x14ac:dyDescent="0.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row>
    <row r="145" spans="13:38" ht="12.95" customHeight="1" x14ac:dyDescent="0.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row>
    <row r="146" spans="13:38" ht="12.95" customHeight="1" x14ac:dyDescent="0.2">
      <c r="M146" s="532"/>
      <c r="N146" s="532"/>
      <c r="O146" s="532"/>
      <c r="P146" s="532"/>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row>
    <row r="147" spans="13:38" ht="12.95" customHeight="1" x14ac:dyDescent="0.2">
      <c r="M147" s="532"/>
      <c r="N147" s="532"/>
      <c r="O147" s="532"/>
      <c r="P147" s="532"/>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row>
    <row r="148" spans="13:38" ht="12.95" customHeight="1" x14ac:dyDescent="0.2">
      <c r="M148" s="532"/>
      <c r="N148" s="532"/>
      <c r="O148" s="532"/>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row>
    <row r="149" spans="13:38" ht="12.95" customHeight="1" x14ac:dyDescent="0.2">
      <c r="M149" s="532"/>
      <c r="N149" s="532"/>
      <c r="O149" s="532"/>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row>
    <row r="150" spans="13:38" ht="12.95" customHeight="1" x14ac:dyDescent="0.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row>
    <row r="151" spans="13:38" ht="12.95" customHeight="1" x14ac:dyDescent="0.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row>
    <row r="152" spans="13:38" ht="12.95" customHeight="1" x14ac:dyDescent="0.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row>
    <row r="153" spans="13:38" ht="12.95" customHeight="1" x14ac:dyDescent="0.2">
      <c r="M153" s="532"/>
      <c r="N153" s="532"/>
      <c r="O153" s="532"/>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row>
    <row r="154" spans="13:38" ht="12.95" customHeight="1" x14ac:dyDescent="0.2">
      <c r="M154" s="532"/>
      <c r="N154" s="532"/>
      <c r="O154" s="532"/>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row>
    <row r="155" spans="13:38" ht="12.95" customHeight="1" x14ac:dyDescent="0.2">
      <c r="M155" s="532"/>
      <c r="N155" s="532"/>
      <c r="O155" s="532"/>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row>
    <row r="156" spans="13:38" ht="12.95" customHeight="1" x14ac:dyDescent="0.2">
      <c r="M156" s="532"/>
      <c r="N156" s="532"/>
      <c r="O156" s="532"/>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row>
    <row r="157" spans="13:38" ht="12.95" customHeight="1" x14ac:dyDescent="0.2">
      <c r="M157" s="532"/>
      <c r="N157" s="532"/>
      <c r="O157" s="532"/>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row>
    <row r="158" spans="13:38" ht="12.95" customHeight="1" x14ac:dyDescent="0.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row>
    <row r="159" spans="13:38" ht="12.95" customHeight="1" x14ac:dyDescent="0.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row>
    <row r="160" spans="13:38" ht="12.95" customHeight="1" x14ac:dyDescent="0.2">
      <c r="M160" s="532"/>
      <c r="N160" s="532"/>
      <c r="O160" s="532"/>
      <c r="P160" s="532"/>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row>
    <row r="161" spans="13:38" ht="12.95" customHeight="1" x14ac:dyDescent="0.2">
      <c r="M161" s="532"/>
      <c r="N161" s="532"/>
      <c r="O161" s="532"/>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row>
    <row r="162" spans="13:38" ht="12.95" customHeight="1" x14ac:dyDescent="0.2">
      <c r="M162" s="532"/>
      <c r="N162" s="532"/>
      <c r="O162" s="532"/>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row>
    <row r="163" spans="13:38" ht="12.95" customHeight="1" x14ac:dyDescent="0.2">
      <c r="M163" s="532"/>
      <c r="N163" s="532"/>
      <c r="O163" s="532"/>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row>
    <row r="164" spans="13:38" ht="12.95" customHeight="1" x14ac:dyDescent="0.2">
      <c r="M164" s="532"/>
      <c r="N164" s="532"/>
      <c r="O164" s="532"/>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row>
    <row r="165" spans="13:38" ht="12.95" customHeight="1" x14ac:dyDescent="0.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row>
    <row r="166" spans="13:38" ht="12.95" customHeight="1" x14ac:dyDescent="0.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row>
    <row r="167" spans="13:38" ht="12.95" customHeight="1" x14ac:dyDescent="0.2">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row>
    <row r="168" spans="13:38" ht="12.95" customHeight="1" x14ac:dyDescent="0.2">
      <c r="M168" s="532"/>
      <c r="N168" s="532"/>
      <c r="O168" s="532"/>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row>
    <row r="169" spans="13:38" ht="12.95" customHeight="1" x14ac:dyDescent="0.2">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row>
    <row r="170" spans="13:38" ht="12.95" customHeight="1" x14ac:dyDescent="0.2">
      <c r="M170" s="532"/>
      <c r="N170" s="532"/>
      <c r="O170" s="532"/>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row>
    <row r="171" spans="13:38" ht="12.95" customHeight="1" x14ac:dyDescent="0.2">
      <c r="M171" s="532"/>
      <c r="N171" s="532"/>
      <c r="O171" s="53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row>
    <row r="172" spans="13:38" ht="12.95" customHeight="1" x14ac:dyDescent="0.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row>
    <row r="173" spans="13:38" ht="12.95" customHeight="1" x14ac:dyDescent="0.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row>
    <row r="174" spans="13:38" ht="12.95" customHeight="1" x14ac:dyDescent="0.2">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row>
    <row r="175" spans="13:38" ht="12.95" customHeight="1" x14ac:dyDescent="0.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row>
    <row r="176" spans="13:38" ht="12.95" customHeight="1" x14ac:dyDescent="0.2">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row>
    <row r="177" spans="13:38" ht="12.95" customHeight="1" x14ac:dyDescent="0.2">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row>
    <row r="178" spans="13:38" ht="12.95" customHeight="1" x14ac:dyDescent="0.2">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row>
    <row r="179" spans="13:38" ht="12.95" customHeight="1" x14ac:dyDescent="0.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row>
    <row r="180" spans="13:38" ht="12.95" customHeight="1" x14ac:dyDescent="0.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row>
    <row r="181" spans="13:38" ht="12.95" customHeight="1" x14ac:dyDescent="0.2">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row>
    <row r="182" spans="13:38" ht="12.95" customHeight="1" x14ac:dyDescent="0.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row>
    <row r="183" spans="13:38" ht="12.95" customHeight="1" x14ac:dyDescent="0.2">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row>
    <row r="184" spans="13:38" ht="12.95" customHeight="1" x14ac:dyDescent="0.2">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row>
    <row r="185" spans="13:38" ht="12.95" customHeight="1" x14ac:dyDescent="0.2">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row>
    <row r="186" spans="13:38" ht="12.95" customHeight="1" x14ac:dyDescent="0.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row>
    <row r="187" spans="13:38" ht="12.95" customHeight="1" x14ac:dyDescent="0.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row>
    <row r="188" spans="13:38" ht="12.95" customHeight="1" x14ac:dyDescent="0.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row>
    <row r="189" spans="13:38" ht="12.95" customHeight="1" x14ac:dyDescent="0.2">
      <c r="M189" s="532"/>
      <c r="N189" s="532"/>
      <c r="O189" s="532"/>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row>
    <row r="190" spans="13:38" ht="12.95" customHeight="1" x14ac:dyDescent="0.2">
      <c r="M190" s="532"/>
      <c r="N190" s="532"/>
      <c r="O190" s="532"/>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row>
    <row r="191" spans="13:38" ht="12.95" customHeight="1" x14ac:dyDescent="0.2">
      <c r="M191" s="532"/>
      <c r="N191" s="532"/>
      <c r="O191" s="532"/>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row>
    <row r="192" spans="13:38" ht="12.95" customHeight="1" x14ac:dyDescent="0.2">
      <c r="M192" s="532"/>
      <c r="N192" s="532"/>
      <c r="O192" s="532"/>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row>
    <row r="193" spans="13:38" ht="12.95" customHeight="1" x14ac:dyDescent="0.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row>
    <row r="194" spans="13:38" ht="12.95" customHeight="1" x14ac:dyDescent="0.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row>
    <row r="195" spans="13:38" ht="12.95" customHeight="1" x14ac:dyDescent="0.2">
      <c r="M195" s="532"/>
      <c r="N195" s="532"/>
      <c r="O195" s="532"/>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row>
    <row r="196" spans="13:38" ht="12.95" customHeight="1" x14ac:dyDescent="0.2">
      <c r="M196" s="532"/>
      <c r="N196" s="532"/>
      <c r="O196" s="532"/>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row>
    <row r="197" spans="13:38" ht="12.95" customHeight="1" x14ac:dyDescent="0.2">
      <c r="M197" s="532"/>
      <c r="N197" s="532"/>
      <c r="O197" s="532"/>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row>
    <row r="198" spans="13:38" ht="12.95" customHeight="1" x14ac:dyDescent="0.2">
      <c r="M198" s="532"/>
      <c r="N198" s="532"/>
      <c r="O198" s="532"/>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row>
    <row r="199" spans="13:38" ht="12.95" customHeight="1" x14ac:dyDescent="0.2">
      <c r="M199" s="532"/>
      <c r="N199" s="532"/>
      <c r="O199" s="53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row>
    <row r="200" spans="13:38" ht="12.95" customHeight="1" x14ac:dyDescent="0.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row>
    <row r="201" spans="13:38" ht="12.95" customHeight="1" x14ac:dyDescent="0.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row>
    <row r="202" spans="13:38" ht="12.95" customHeight="1" x14ac:dyDescent="0.2">
      <c r="M202" s="532"/>
      <c r="N202" s="532"/>
      <c r="O202" s="532"/>
      <c r="P202" s="532"/>
      <c r="Q202" s="532"/>
      <c r="R202" s="532"/>
      <c r="S202" s="532"/>
      <c r="T202" s="532"/>
      <c r="U202" s="532"/>
      <c r="V202" s="532"/>
      <c r="W202" s="532"/>
      <c r="X202" s="532"/>
      <c r="Y202" s="532"/>
      <c r="Z202" s="532"/>
      <c r="AA202" s="532"/>
      <c r="AB202" s="532"/>
      <c r="AC202" s="532"/>
      <c r="AD202" s="532"/>
      <c r="AE202" s="532"/>
      <c r="AF202" s="532"/>
      <c r="AG202" s="532"/>
      <c r="AH202" s="532"/>
      <c r="AI202" s="532"/>
      <c r="AJ202" s="532"/>
      <c r="AK202" s="532"/>
      <c r="AL202" s="532"/>
    </row>
    <row r="203" spans="13:38" ht="12.95" customHeight="1" x14ac:dyDescent="0.2">
      <c r="M203" s="532"/>
      <c r="N203" s="532"/>
      <c r="O203" s="532"/>
      <c r="P203" s="532"/>
      <c r="Q203" s="532"/>
      <c r="R203" s="532"/>
      <c r="S203" s="532"/>
      <c r="T203" s="532"/>
      <c r="U203" s="532"/>
      <c r="V203" s="532"/>
      <c r="W203" s="532"/>
      <c r="X203" s="532"/>
      <c r="Y203" s="532"/>
      <c r="Z203" s="532"/>
      <c r="AA203" s="532"/>
      <c r="AB203" s="532"/>
      <c r="AC203" s="532"/>
      <c r="AD203" s="532"/>
      <c r="AE203" s="532"/>
      <c r="AF203" s="532"/>
      <c r="AG203" s="532"/>
      <c r="AH203" s="532"/>
      <c r="AI203" s="532"/>
      <c r="AJ203" s="532"/>
      <c r="AK203" s="532"/>
      <c r="AL203" s="532"/>
    </row>
    <row r="204" spans="13:38" ht="12.95" customHeight="1" x14ac:dyDescent="0.2">
      <c r="M204" s="532"/>
      <c r="N204" s="532"/>
      <c r="O204" s="532"/>
      <c r="P204" s="532"/>
      <c r="Q204" s="532"/>
      <c r="R204" s="532"/>
      <c r="S204" s="532"/>
      <c r="T204" s="532"/>
      <c r="U204" s="532"/>
      <c r="V204" s="532"/>
      <c r="W204" s="532"/>
      <c r="X204" s="532"/>
      <c r="Y204" s="532"/>
      <c r="Z204" s="532"/>
      <c r="AA204" s="532"/>
      <c r="AB204" s="532"/>
      <c r="AC204" s="532"/>
      <c r="AD204" s="532"/>
      <c r="AE204" s="532"/>
      <c r="AF204" s="532"/>
      <c r="AG204" s="532"/>
      <c r="AH204" s="532"/>
      <c r="AI204" s="532"/>
      <c r="AJ204" s="532"/>
      <c r="AK204" s="532"/>
      <c r="AL204" s="532"/>
    </row>
    <row r="205" spans="13:38" ht="12.95" customHeight="1" x14ac:dyDescent="0.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row>
    <row r="206" spans="13:38" ht="12.95" customHeight="1" x14ac:dyDescent="0.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row>
    <row r="207" spans="13:38" ht="12.95" customHeight="1" x14ac:dyDescent="0.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row>
    <row r="208" spans="13:38" ht="12.95" customHeight="1" x14ac:dyDescent="0.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row>
    <row r="209" spans="13:38" ht="12.95" customHeight="1" x14ac:dyDescent="0.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row>
    <row r="210" spans="13:38" ht="12.95" customHeight="1" x14ac:dyDescent="0.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row>
    <row r="211" spans="13:38" ht="12.95" customHeight="1" x14ac:dyDescent="0.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row>
    <row r="212" spans="13:38" ht="12.95" customHeight="1" x14ac:dyDescent="0.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row>
    <row r="213" spans="13:38" ht="12.95" customHeight="1" x14ac:dyDescent="0.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row>
    <row r="214" spans="13:38" ht="12.95" customHeight="1" x14ac:dyDescent="0.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row>
    <row r="215" spans="13:38" ht="12.95" customHeight="1" x14ac:dyDescent="0.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row>
    <row r="216" spans="13:38" ht="12.95" customHeight="1" x14ac:dyDescent="0.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row>
    <row r="217" spans="13:38" ht="12.95" customHeight="1" x14ac:dyDescent="0.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row>
    <row r="218" spans="13:38" ht="12.95" customHeight="1" x14ac:dyDescent="0.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row>
    <row r="219" spans="13:38" ht="12.95" customHeight="1" x14ac:dyDescent="0.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row>
    <row r="220" spans="13:38" ht="12.95" customHeight="1" x14ac:dyDescent="0.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row>
    <row r="221" spans="13:38" ht="12.95" customHeight="1" x14ac:dyDescent="0.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row>
    <row r="222" spans="13:38" ht="12.95" customHeight="1" x14ac:dyDescent="0.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row>
    <row r="223" spans="13:38" ht="12.95" customHeight="1" x14ac:dyDescent="0.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row>
    <row r="224" spans="13:38" ht="12.95" customHeight="1" x14ac:dyDescent="0.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row>
    <row r="225" spans="13:38" ht="12.95" customHeight="1" x14ac:dyDescent="0.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row>
    <row r="226" spans="13:38" ht="12.95" customHeight="1" x14ac:dyDescent="0.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row>
    <row r="227" spans="13:38" ht="12.95" customHeight="1" x14ac:dyDescent="0.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row>
    <row r="228" spans="13:38" ht="12.95" customHeight="1" x14ac:dyDescent="0.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row>
    <row r="229" spans="13:38" ht="12.95" customHeight="1" x14ac:dyDescent="0.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row>
    <row r="230" spans="13:38" ht="12.95" customHeight="1" x14ac:dyDescent="0.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row>
    <row r="231" spans="13:38" ht="12.95" customHeight="1" x14ac:dyDescent="0.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row>
    <row r="232" spans="13:38" ht="12.95" customHeight="1" x14ac:dyDescent="0.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row>
    <row r="233" spans="13:38" ht="12.95" customHeight="1" x14ac:dyDescent="0.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row>
    <row r="234" spans="13:38" ht="12.95" customHeight="1" x14ac:dyDescent="0.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row>
    <row r="235" spans="13:38" ht="12.95" customHeight="1" x14ac:dyDescent="0.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row>
    <row r="236" spans="13:38" ht="12.95" customHeight="1" x14ac:dyDescent="0.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row>
    <row r="237" spans="13:38" ht="12.95" customHeight="1" x14ac:dyDescent="0.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row>
    <row r="238" spans="13:38" ht="12.95" customHeight="1" x14ac:dyDescent="0.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row>
    <row r="239" spans="13:38" ht="12.95" customHeight="1" x14ac:dyDescent="0.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row>
    <row r="240" spans="13:38" ht="12.95" customHeight="1" x14ac:dyDescent="0.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row>
    <row r="241" spans="13:38" ht="12.95" customHeight="1" x14ac:dyDescent="0.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row>
    <row r="242" spans="13:38" ht="12.95" customHeight="1" x14ac:dyDescent="0.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row>
    <row r="243" spans="13:38" ht="12.95" customHeight="1" x14ac:dyDescent="0.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row>
    <row r="244" spans="13:38" ht="12.95" customHeight="1" x14ac:dyDescent="0.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row>
    <row r="245" spans="13:38" ht="12.95" customHeight="1" x14ac:dyDescent="0.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row>
    <row r="246" spans="13:38" ht="12.95" customHeight="1" x14ac:dyDescent="0.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row>
    <row r="247" spans="13:38" ht="12.95" customHeight="1" x14ac:dyDescent="0.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row>
    <row r="248" spans="13:38" ht="12.95" customHeight="1" x14ac:dyDescent="0.2">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row>
    <row r="249" spans="13:38" ht="12.95" customHeight="1" x14ac:dyDescent="0.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row>
    <row r="250" spans="13:38" ht="12.95" customHeight="1" x14ac:dyDescent="0.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row>
    <row r="251" spans="13:38" ht="12.95" customHeight="1" x14ac:dyDescent="0.2">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row>
    <row r="252" spans="13:38" ht="12.95" customHeight="1" x14ac:dyDescent="0.2">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row>
    <row r="253" spans="13:38" ht="12.95" customHeight="1" x14ac:dyDescent="0.2">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row>
    <row r="254" spans="13:38" ht="12.95" customHeight="1" x14ac:dyDescent="0.2">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row>
    <row r="255" spans="13:38" ht="12.95" customHeight="1" x14ac:dyDescent="0.2">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row>
    <row r="256" spans="13:38" ht="12.95" customHeight="1" x14ac:dyDescent="0.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row>
    <row r="257" spans="13:38" ht="12.95" customHeight="1" x14ac:dyDescent="0.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row>
    <row r="258" spans="13:38" ht="12.95" customHeight="1" x14ac:dyDescent="0.2">
      <c r="M258" s="532"/>
      <c r="N258" s="532"/>
      <c r="O258" s="532"/>
      <c r="P258" s="532"/>
      <c r="Q258" s="532"/>
      <c r="R258" s="532"/>
      <c r="S258" s="532"/>
      <c r="T258" s="532"/>
      <c r="U258" s="532"/>
      <c r="V258" s="532"/>
      <c r="W258" s="532"/>
      <c r="X258" s="532"/>
      <c r="Y258" s="532"/>
      <c r="Z258" s="532"/>
      <c r="AA258" s="532"/>
      <c r="AB258" s="532"/>
      <c r="AC258" s="532"/>
      <c r="AD258" s="532"/>
      <c r="AE258" s="532"/>
      <c r="AF258" s="532"/>
      <c r="AG258" s="532"/>
      <c r="AH258" s="532"/>
      <c r="AI258" s="532"/>
      <c r="AJ258" s="532"/>
      <c r="AK258" s="532"/>
      <c r="AL258" s="532"/>
    </row>
    <row r="259" spans="13:38" ht="12.95" customHeight="1" x14ac:dyDescent="0.2">
      <c r="M259" s="532"/>
      <c r="N259" s="532"/>
      <c r="O259" s="532"/>
      <c r="P259" s="532"/>
      <c r="Q259" s="532"/>
      <c r="R259" s="532"/>
      <c r="S259" s="532"/>
      <c r="T259" s="532"/>
      <c r="U259" s="532"/>
      <c r="V259" s="532"/>
      <c r="W259" s="532"/>
      <c r="X259" s="532"/>
      <c r="Y259" s="532"/>
      <c r="Z259" s="532"/>
      <c r="AA259" s="532"/>
      <c r="AB259" s="532"/>
      <c r="AC259" s="532"/>
      <c r="AD259" s="532"/>
      <c r="AE259" s="532"/>
      <c r="AF259" s="532"/>
      <c r="AG259" s="532"/>
      <c r="AH259" s="532"/>
      <c r="AI259" s="532"/>
      <c r="AJ259" s="532"/>
      <c r="AK259" s="532"/>
      <c r="AL259" s="532"/>
    </row>
    <row r="260" spans="13:38" ht="12.95" customHeight="1" x14ac:dyDescent="0.2">
      <c r="M260" s="532"/>
      <c r="N260" s="532"/>
      <c r="O260" s="532"/>
      <c r="P260" s="532"/>
      <c r="Q260" s="532"/>
      <c r="R260" s="532"/>
      <c r="S260" s="532"/>
      <c r="T260" s="532"/>
      <c r="U260" s="532"/>
      <c r="V260" s="532"/>
      <c r="W260" s="532"/>
      <c r="X260" s="532"/>
      <c r="Y260" s="532"/>
      <c r="Z260" s="532"/>
      <c r="AA260" s="532"/>
      <c r="AB260" s="532"/>
      <c r="AC260" s="532"/>
      <c r="AD260" s="532"/>
      <c r="AE260" s="532"/>
      <c r="AF260" s="532"/>
      <c r="AG260" s="532"/>
      <c r="AH260" s="532"/>
      <c r="AI260" s="532"/>
      <c r="AJ260" s="532"/>
      <c r="AK260" s="532"/>
      <c r="AL260" s="532"/>
    </row>
    <row r="261" spans="13:38" ht="12.95" customHeight="1" x14ac:dyDescent="0.2">
      <c r="M261" s="532"/>
      <c r="N261" s="532"/>
      <c r="O261" s="532"/>
      <c r="P261" s="532"/>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row>
    <row r="262" spans="13:38" ht="12.95" customHeight="1" x14ac:dyDescent="0.2">
      <c r="M262" s="532"/>
      <c r="N262" s="532"/>
      <c r="O262" s="532"/>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row>
    <row r="263" spans="13:38" ht="12.95" customHeight="1" x14ac:dyDescent="0.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row>
    <row r="264" spans="13:38" ht="12.95" customHeight="1" x14ac:dyDescent="0.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row>
    <row r="265" spans="13:38" ht="12.95" customHeight="1" x14ac:dyDescent="0.2">
      <c r="M265" s="532"/>
      <c r="N265" s="532"/>
      <c r="O265" s="532"/>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row>
    <row r="266" spans="13:38" ht="12.95" customHeight="1" x14ac:dyDescent="0.2">
      <c r="M266" s="532"/>
      <c r="N266" s="532"/>
      <c r="O266" s="532"/>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row>
    <row r="267" spans="13:38" ht="12.95" customHeight="1" x14ac:dyDescent="0.2">
      <c r="M267" s="532"/>
      <c r="N267" s="532"/>
      <c r="O267" s="532"/>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row>
    <row r="268" spans="13:38" ht="12.95" customHeight="1" x14ac:dyDescent="0.2">
      <c r="M268" s="532"/>
      <c r="N268" s="532"/>
      <c r="O268" s="532"/>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row>
    <row r="269" spans="13:38" ht="12.95" customHeight="1" x14ac:dyDescent="0.2">
      <c r="M269" s="532"/>
      <c r="N269" s="532"/>
      <c r="O269" s="532"/>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row>
    <row r="270" spans="13:38" ht="12.95" customHeight="1" x14ac:dyDescent="0.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row>
    <row r="271" spans="13:38" ht="12.95" customHeight="1" x14ac:dyDescent="0.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row>
    <row r="272" spans="13:38" ht="12.95" customHeight="1" x14ac:dyDescent="0.2">
      <c r="M272" s="532"/>
      <c r="N272" s="532"/>
      <c r="O272" s="532"/>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row>
    <row r="273" spans="13:38" ht="12.95" customHeight="1" x14ac:dyDescent="0.2">
      <c r="M273" s="532"/>
      <c r="N273" s="532"/>
      <c r="O273" s="532"/>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row>
    <row r="274" spans="13:38" ht="12.95" customHeight="1" x14ac:dyDescent="0.2">
      <c r="M274" s="532"/>
      <c r="N274" s="532"/>
      <c r="O274" s="532"/>
      <c r="P274" s="532"/>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row>
    <row r="275" spans="13:38" ht="12.95" customHeight="1" x14ac:dyDescent="0.2">
      <c r="M275" s="532"/>
      <c r="N275" s="532"/>
      <c r="O275" s="532"/>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row>
    <row r="276" spans="13:38" ht="12.95" customHeight="1" x14ac:dyDescent="0.2">
      <c r="M276" s="532"/>
      <c r="N276" s="532"/>
      <c r="O276" s="532"/>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row>
    <row r="277" spans="13:38" ht="12.95" customHeight="1" x14ac:dyDescent="0.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row>
    <row r="278" spans="13:38" ht="12.95" customHeight="1" x14ac:dyDescent="0.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row>
    <row r="279" spans="13:38" ht="12.95" customHeight="1" x14ac:dyDescent="0.2">
      <c r="M279" s="532"/>
      <c r="N279" s="532"/>
      <c r="O279" s="532"/>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row>
    <row r="280" spans="13:38" ht="12.95" customHeight="1" x14ac:dyDescent="0.2">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row>
    <row r="281" spans="13:38" ht="12.95" customHeight="1" x14ac:dyDescent="0.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row>
    <row r="282" spans="13:38" ht="12.95" customHeight="1" x14ac:dyDescent="0.2">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row>
    <row r="283" spans="13:38" ht="12.95" customHeight="1" x14ac:dyDescent="0.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row>
    <row r="284" spans="13:38" ht="12.95" customHeight="1" x14ac:dyDescent="0.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row>
    <row r="285" spans="13:38" ht="12.95" customHeight="1" x14ac:dyDescent="0.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row>
    <row r="286" spans="13:38" ht="12.95" customHeight="1" x14ac:dyDescent="0.2">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row>
    <row r="287" spans="13:38" ht="12.95" customHeight="1" x14ac:dyDescent="0.2">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row>
    <row r="288" spans="13:38" ht="12.95" customHeight="1" x14ac:dyDescent="0.2">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row>
    <row r="289" spans="13:38" ht="12.95" customHeight="1" x14ac:dyDescent="0.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row>
    <row r="290" spans="13:38" ht="12.95" customHeight="1" x14ac:dyDescent="0.2">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row>
    <row r="291" spans="13:38" ht="12.95" customHeight="1" x14ac:dyDescent="0.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row>
    <row r="292" spans="13:38" ht="12.95" customHeight="1" x14ac:dyDescent="0.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row>
    <row r="293" spans="13:38" ht="12.95" customHeight="1" x14ac:dyDescent="0.2">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row>
    <row r="294" spans="13:38" ht="12.95" customHeight="1" x14ac:dyDescent="0.2">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row>
    <row r="295" spans="13:38" ht="12.95" customHeight="1" x14ac:dyDescent="0.2">
      <c r="M295" s="532"/>
      <c r="N295" s="532"/>
      <c r="O295" s="532"/>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row>
    <row r="296" spans="13:38" ht="12.95" customHeight="1" x14ac:dyDescent="0.2">
      <c r="M296" s="532"/>
      <c r="N296" s="532"/>
      <c r="O296" s="532"/>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row>
    <row r="297" spans="13:38" ht="12.95" customHeight="1" x14ac:dyDescent="0.2">
      <c r="M297" s="532"/>
      <c r="N297" s="532"/>
      <c r="O297" s="532"/>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row>
    <row r="298" spans="13:38" ht="12.95" customHeight="1" x14ac:dyDescent="0.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row>
    <row r="299" spans="13:38" ht="12.95" customHeight="1" x14ac:dyDescent="0.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row>
    <row r="300" spans="13:38" ht="12.95" customHeight="1" x14ac:dyDescent="0.2">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row>
    <row r="301" spans="13:38" ht="12.95" customHeight="1" x14ac:dyDescent="0.2">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row>
    <row r="302" spans="13:38" ht="12.95" customHeight="1" x14ac:dyDescent="0.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row>
    <row r="303" spans="13:38" ht="12.95" customHeight="1" x14ac:dyDescent="0.2">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row>
    <row r="304" spans="13:38" ht="12.95" customHeight="1" x14ac:dyDescent="0.2">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row>
    <row r="305" spans="13:38" ht="12.95" customHeight="1" x14ac:dyDescent="0.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row>
    <row r="306" spans="13:38" ht="12.95" customHeight="1" x14ac:dyDescent="0.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row>
    <row r="307" spans="13:38" ht="12.95" customHeight="1" x14ac:dyDescent="0.2">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row>
    <row r="308" spans="13:38" ht="12.95" customHeight="1" x14ac:dyDescent="0.2">
      <c r="M308" s="532"/>
      <c r="N308" s="532"/>
      <c r="O308" s="532"/>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row>
    <row r="309" spans="13:38" ht="12.95" customHeight="1" x14ac:dyDescent="0.2">
      <c r="M309" s="532"/>
      <c r="N309" s="532"/>
      <c r="O309" s="532"/>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row>
    <row r="310" spans="13:38" ht="12.95" customHeight="1" x14ac:dyDescent="0.2">
      <c r="M310" s="532"/>
      <c r="N310" s="532"/>
      <c r="O310" s="532"/>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row>
    <row r="311" spans="13:38" ht="12.95" customHeight="1" x14ac:dyDescent="0.2">
      <c r="M311" s="532"/>
      <c r="N311" s="532"/>
      <c r="O311" s="532"/>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row>
    <row r="312" spans="13:38" ht="12.95" customHeight="1" x14ac:dyDescent="0.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row>
    <row r="313" spans="13:38" ht="12.95" customHeight="1" x14ac:dyDescent="0.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row>
    <row r="314" spans="13:38" ht="12.95" customHeight="1" x14ac:dyDescent="0.2">
      <c r="M314" s="532"/>
      <c r="N314" s="532"/>
      <c r="O314" s="532"/>
      <c r="P314" s="532"/>
      <c r="Q314" s="532"/>
      <c r="R314" s="532"/>
      <c r="S314" s="532"/>
      <c r="T314" s="532"/>
      <c r="U314" s="532"/>
      <c r="V314" s="532"/>
      <c r="W314" s="532"/>
      <c r="X314" s="532"/>
      <c r="Y314" s="532"/>
      <c r="Z314" s="532"/>
      <c r="AA314" s="532"/>
      <c r="AB314" s="532"/>
      <c r="AC314" s="532"/>
      <c r="AD314" s="532"/>
      <c r="AE314" s="532"/>
      <c r="AF314" s="532"/>
      <c r="AG314" s="532"/>
      <c r="AH314" s="532"/>
      <c r="AI314" s="532"/>
      <c r="AJ314" s="532"/>
      <c r="AK314" s="532"/>
      <c r="AL314" s="532"/>
    </row>
    <row r="315" spans="13:38" ht="12.95" customHeight="1" x14ac:dyDescent="0.2">
      <c r="M315" s="532"/>
      <c r="N315" s="532"/>
      <c r="O315" s="532"/>
      <c r="P315" s="532"/>
      <c r="Q315" s="532"/>
      <c r="R315" s="532"/>
      <c r="S315" s="532"/>
      <c r="T315" s="532"/>
      <c r="U315" s="532"/>
      <c r="V315" s="532"/>
      <c r="W315" s="532"/>
      <c r="X315" s="532"/>
      <c r="Y315" s="532"/>
      <c r="Z315" s="532"/>
      <c r="AA315" s="532"/>
      <c r="AB315" s="532"/>
      <c r="AC315" s="532"/>
      <c r="AD315" s="532"/>
      <c r="AE315" s="532"/>
      <c r="AF315" s="532"/>
      <c r="AG315" s="532"/>
      <c r="AH315" s="532"/>
      <c r="AI315" s="532"/>
      <c r="AJ315" s="532"/>
      <c r="AK315" s="532"/>
      <c r="AL315" s="532"/>
    </row>
    <row r="316" spans="13:38" ht="12.95" customHeight="1" x14ac:dyDescent="0.2">
      <c r="M316" s="532"/>
      <c r="N316" s="532"/>
      <c r="O316" s="532"/>
      <c r="P316" s="532"/>
      <c r="Q316" s="532"/>
      <c r="R316" s="532"/>
      <c r="S316" s="532"/>
      <c r="T316" s="532"/>
      <c r="U316" s="532"/>
      <c r="V316" s="532"/>
      <c r="W316" s="532"/>
      <c r="X316" s="532"/>
      <c r="Y316" s="532"/>
      <c r="Z316" s="532"/>
      <c r="AA316" s="532"/>
      <c r="AB316" s="532"/>
      <c r="AC316" s="532"/>
      <c r="AD316" s="532"/>
      <c r="AE316" s="532"/>
      <c r="AF316" s="532"/>
      <c r="AG316" s="532"/>
      <c r="AH316" s="532"/>
      <c r="AI316" s="532"/>
      <c r="AJ316" s="532"/>
      <c r="AK316" s="532"/>
      <c r="AL316" s="532"/>
    </row>
    <row r="317" spans="13:38" ht="12.95" customHeight="1" x14ac:dyDescent="0.2">
      <c r="M317" s="532"/>
      <c r="N317" s="532"/>
      <c r="O317" s="532"/>
      <c r="P317" s="532"/>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row>
    <row r="318" spans="13:38" ht="12.95" customHeight="1" x14ac:dyDescent="0.2">
      <c r="M318" s="532"/>
      <c r="N318" s="532"/>
      <c r="O318" s="532"/>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row>
    <row r="319" spans="13:38" ht="12.95" customHeight="1" x14ac:dyDescent="0.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row>
    <row r="320" spans="13:38" ht="12.95" customHeight="1" x14ac:dyDescent="0.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row>
    <row r="321" spans="13:38" ht="12.95" customHeight="1" x14ac:dyDescent="0.2">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row>
    <row r="322" spans="13:38" ht="12.95" customHeight="1" x14ac:dyDescent="0.2">
      <c r="M322" s="532"/>
      <c r="N322" s="532"/>
      <c r="O322" s="532"/>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row>
    <row r="323" spans="13:38" ht="12.95" customHeight="1" x14ac:dyDescent="0.2">
      <c r="M323" s="532"/>
      <c r="N323" s="532"/>
      <c r="O323" s="532"/>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row>
    <row r="324" spans="13:38" ht="12.95" customHeight="1" x14ac:dyDescent="0.2">
      <c r="M324" s="532"/>
      <c r="N324" s="532"/>
      <c r="O324" s="532"/>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row>
    <row r="325" spans="13:38" ht="12.95" customHeight="1" x14ac:dyDescent="0.2">
      <c r="M325" s="532"/>
      <c r="N325" s="532"/>
      <c r="O325" s="532"/>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row>
    <row r="326" spans="13:38" ht="12.95" customHeight="1" x14ac:dyDescent="0.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row>
    <row r="327" spans="13:38" ht="12.95" customHeight="1" x14ac:dyDescent="0.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row>
    <row r="328" spans="13:38" ht="12.95" customHeight="1" x14ac:dyDescent="0.2">
      <c r="M328" s="532"/>
      <c r="N328" s="532"/>
      <c r="O328" s="532"/>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row>
    <row r="329" spans="13:38" ht="12.95" customHeight="1" x14ac:dyDescent="0.2">
      <c r="M329" s="532"/>
      <c r="N329" s="532"/>
      <c r="O329" s="532"/>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row>
    <row r="330" spans="13:38" ht="12.95" customHeight="1" x14ac:dyDescent="0.2">
      <c r="M330" s="532"/>
      <c r="N330" s="532"/>
      <c r="O330" s="532"/>
      <c r="P330" s="532"/>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row>
    <row r="331" spans="13:38" ht="12.95" customHeight="1" x14ac:dyDescent="0.2">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row>
    <row r="332" spans="13:38" ht="12.95" customHeight="1" x14ac:dyDescent="0.2">
      <c r="M332" s="532"/>
      <c r="N332" s="532"/>
      <c r="O332" s="532"/>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row>
    <row r="333" spans="13:38" ht="12.95" customHeight="1" x14ac:dyDescent="0.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row>
    <row r="334" spans="13:38" ht="12.95" customHeight="1" x14ac:dyDescent="0.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row>
    <row r="335" spans="13:38" ht="12.95" customHeight="1" x14ac:dyDescent="0.2">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row>
    <row r="336" spans="13:38" ht="12.95" customHeight="1" x14ac:dyDescent="0.2">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row>
    <row r="337" spans="13:38" ht="12.95" customHeight="1" x14ac:dyDescent="0.2">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row>
    <row r="338" spans="13:38" ht="12.95" customHeight="1" x14ac:dyDescent="0.2">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row>
    <row r="339" spans="13:38" ht="12.95" customHeight="1" x14ac:dyDescent="0.2">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row>
    <row r="340" spans="13:38" ht="12.95" customHeight="1" x14ac:dyDescent="0.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row>
    <row r="341" spans="13:38" ht="12.95" customHeight="1" x14ac:dyDescent="0.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row>
    <row r="342" spans="13:38" ht="12.95" customHeight="1" x14ac:dyDescent="0.2">
      <c r="M342" s="532"/>
      <c r="N342" s="532"/>
      <c r="O342" s="532"/>
      <c r="P342" s="532"/>
      <c r="Q342" s="532"/>
      <c r="R342" s="532"/>
      <c r="S342" s="532"/>
      <c r="T342" s="532"/>
      <c r="U342" s="532"/>
      <c r="V342" s="532"/>
      <c r="W342" s="532"/>
      <c r="X342" s="532"/>
      <c r="Y342" s="532"/>
      <c r="Z342" s="532"/>
      <c r="AA342" s="532"/>
      <c r="AB342" s="532"/>
      <c r="AC342" s="532"/>
      <c r="AD342" s="532"/>
      <c r="AE342" s="532"/>
      <c r="AF342" s="532"/>
      <c r="AG342" s="532"/>
      <c r="AH342" s="532"/>
      <c r="AI342" s="532"/>
      <c r="AJ342" s="532"/>
      <c r="AK342" s="532"/>
      <c r="AL342" s="532"/>
    </row>
    <row r="343" spans="13:38" ht="12.95" customHeight="1" x14ac:dyDescent="0.2">
      <c r="M343" s="532"/>
      <c r="N343" s="532"/>
      <c r="O343" s="532"/>
      <c r="P343" s="532"/>
      <c r="Q343" s="532"/>
      <c r="R343" s="532"/>
      <c r="S343" s="532"/>
      <c r="T343" s="532"/>
      <c r="U343" s="532"/>
      <c r="V343" s="532"/>
      <c r="W343" s="532"/>
      <c r="X343" s="532"/>
      <c r="Y343" s="532"/>
      <c r="Z343" s="532"/>
      <c r="AA343" s="532"/>
      <c r="AB343" s="532"/>
      <c r="AC343" s="532"/>
      <c r="AD343" s="532"/>
      <c r="AE343" s="532"/>
      <c r="AF343" s="532"/>
      <c r="AG343" s="532"/>
      <c r="AH343" s="532"/>
      <c r="AI343" s="532"/>
      <c r="AJ343" s="532"/>
      <c r="AK343" s="532"/>
      <c r="AL343" s="532"/>
    </row>
    <row r="344" spans="13:38" ht="12.95" customHeight="1" x14ac:dyDescent="0.2">
      <c r="M344" s="532"/>
      <c r="N344" s="532"/>
      <c r="O344" s="532"/>
      <c r="P344" s="532"/>
      <c r="Q344" s="532"/>
      <c r="R344" s="532"/>
      <c r="S344" s="532"/>
      <c r="T344" s="532"/>
      <c r="U344" s="532"/>
      <c r="V344" s="532"/>
      <c r="W344" s="532"/>
      <c r="X344" s="532"/>
      <c r="Y344" s="532"/>
      <c r="Z344" s="532"/>
      <c r="AA344" s="532"/>
      <c r="AB344" s="532"/>
      <c r="AC344" s="532"/>
      <c r="AD344" s="532"/>
      <c r="AE344" s="532"/>
      <c r="AF344" s="532"/>
      <c r="AG344" s="532"/>
      <c r="AH344" s="532"/>
      <c r="AI344" s="532"/>
      <c r="AJ344" s="532"/>
      <c r="AK344" s="532"/>
      <c r="AL344" s="532"/>
    </row>
    <row r="345" spans="13:38" ht="12.95" customHeight="1" x14ac:dyDescent="0.2">
      <c r="M345" s="532"/>
      <c r="N345" s="532"/>
      <c r="O345" s="532"/>
      <c r="P345" s="532"/>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row>
    <row r="346" spans="13:38" ht="12.95" customHeight="1" x14ac:dyDescent="0.2">
      <c r="M346" s="532"/>
      <c r="N346" s="532"/>
      <c r="O346" s="532"/>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row>
    <row r="347" spans="13:38" ht="12.95" customHeight="1" x14ac:dyDescent="0.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row>
    <row r="348" spans="13:38" ht="12.95" customHeight="1" x14ac:dyDescent="0.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row>
    <row r="349" spans="13:38" ht="12.95" customHeight="1" x14ac:dyDescent="0.2">
      <c r="M349" s="532"/>
      <c r="N349" s="532"/>
      <c r="O349" s="532"/>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row>
    <row r="350" spans="13:38" ht="12.95" customHeight="1" x14ac:dyDescent="0.2">
      <c r="M350" s="532"/>
      <c r="N350" s="532"/>
      <c r="O350" s="532"/>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row>
    <row r="351" spans="13:38" ht="12.95" customHeight="1" x14ac:dyDescent="0.2">
      <c r="M351" s="532"/>
      <c r="N351" s="532"/>
      <c r="O351" s="532"/>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row>
    <row r="352" spans="13:38" ht="12.95" customHeight="1" x14ac:dyDescent="0.2">
      <c r="M352" s="532"/>
      <c r="N352" s="532"/>
      <c r="O352" s="532"/>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row>
    <row r="353" spans="13:38" ht="12.95" customHeight="1" x14ac:dyDescent="0.2">
      <c r="M353" s="532"/>
      <c r="N353" s="532"/>
      <c r="O353" s="532"/>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row>
    <row r="354" spans="13:38" ht="12.95" customHeight="1" x14ac:dyDescent="0.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row>
    <row r="355" spans="13:38" ht="12.95" customHeight="1" x14ac:dyDescent="0.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row>
    <row r="356" spans="13:38" ht="12.95" customHeight="1" x14ac:dyDescent="0.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row>
    <row r="357" spans="13:38" ht="12.95" customHeight="1" x14ac:dyDescent="0.2">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row>
    <row r="358" spans="13:38" ht="12.95" customHeight="1" x14ac:dyDescent="0.2">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row>
    <row r="359" spans="13:38" ht="12.95" customHeight="1" x14ac:dyDescent="0.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row>
    <row r="360" spans="13:38" ht="12.95" customHeight="1" x14ac:dyDescent="0.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row>
    <row r="361" spans="13:38" ht="12.95" customHeight="1" x14ac:dyDescent="0.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row>
    <row r="362" spans="13:38" ht="12.95" customHeight="1" x14ac:dyDescent="0.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row>
    <row r="363" spans="13:38" ht="12.95" customHeight="1" x14ac:dyDescent="0.2">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row>
    <row r="364" spans="13:38" ht="12.95" customHeight="1" x14ac:dyDescent="0.2">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row>
    <row r="365" spans="13:38" ht="12.95" customHeight="1" x14ac:dyDescent="0.2">
      <c r="M365" s="532"/>
      <c r="N365" s="532"/>
      <c r="O365" s="532"/>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row>
    <row r="366" spans="13:38" ht="12.95" customHeight="1" x14ac:dyDescent="0.2">
      <c r="M366" s="532"/>
      <c r="N366" s="532"/>
      <c r="O366" s="532"/>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row>
    <row r="367" spans="13:38" ht="12.95" customHeight="1" x14ac:dyDescent="0.2">
      <c r="M367" s="532"/>
      <c r="N367" s="532"/>
      <c r="O367" s="532"/>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row>
    <row r="368" spans="13:38" ht="12.95" customHeight="1" x14ac:dyDescent="0.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row>
    <row r="369" spans="13:38" ht="12.95" customHeight="1" x14ac:dyDescent="0.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row>
    <row r="370" spans="13:38" ht="12.95" customHeight="1" x14ac:dyDescent="0.2">
      <c r="M370" s="532"/>
      <c r="N370" s="532"/>
      <c r="O370" s="532"/>
      <c r="P370" s="532"/>
      <c r="Q370" s="532"/>
      <c r="R370" s="532"/>
      <c r="S370" s="532"/>
      <c r="T370" s="532"/>
      <c r="U370" s="532"/>
      <c r="V370" s="532"/>
      <c r="W370" s="532"/>
      <c r="X370" s="532"/>
      <c r="Y370" s="532"/>
      <c r="Z370" s="532"/>
      <c r="AA370" s="532"/>
      <c r="AB370" s="532"/>
      <c r="AC370" s="532"/>
      <c r="AD370" s="532"/>
      <c r="AE370" s="532"/>
      <c r="AF370" s="532"/>
      <c r="AG370" s="532"/>
      <c r="AH370" s="532"/>
      <c r="AI370" s="532"/>
      <c r="AJ370" s="532"/>
      <c r="AK370" s="532"/>
      <c r="AL370" s="532"/>
    </row>
    <row r="371" spans="13:38" ht="12.95" customHeight="1" x14ac:dyDescent="0.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532"/>
    </row>
    <row r="372" spans="13:38" ht="12.95" customHeight="1" x14ac:dyDescent="0.2">
      <c r="M372" s="532"/>
      <c r="N372" s="532"/>
      <c r="O372" s="532"/>
      <c r="P372" s="532"/>
      <c r="Q372" s="532"/>
      <c r="R372" s="532"/>
      <c r="S372" s="532"/>
      <c r="T372" s="532"/>
      <c r="U372" s="532"/>
      <c r="V372" s="532"/>
      <c r="W372" s="532"/>
      <c r="X372" s="532"/>
      <c r="Y372" s="532"/>
      <c r="Z372" s="532"/>
      <c r="AA372" s="532"/>
      <c r="AB372" s="532"/>
      <c r="AC372" s="532"/>
      <c r="AD372" s="532"/>
      <c r="AE372" s="532"/>
      <c r="AF372" s="532"/>
      <c r="AG372" s="532"/>
      <c r="AH372" s="532"/>
      <c r="AI372" s="532"/>
      <c r="AJ372" s="532"/>
      <c r="AK372" s="532"/>
      <c r="AL372" s="532"/>
    </row>
    <row r="373" spans="13:38" ht="12.95" customHeight="1" x14ac:dyDescent="0.2">
      <c r="M373" s="532"/>
      <c r="N373" s="532"/>
      <c r="O373" s="532"/>
      <c r="P373" s="532"/>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row>
    <row r="374" spans="13:38" ht="12.95" customHeight="1" x14ac:dyDescent="0.2">
      <c r="M374" s="532"/>
      <c r="N374" s="532"/>
      <c r="O374" s="532"/>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row>
    <row r="375" spans="13:38" ht="12.95" customHeight="1" x14ac:dyDescent="0.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row>
    <row r="376" spans="13:38" ht="12.95" customHeight="1" x14ac:dyDescent="0.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row>
    <row r="377" spans="13:38" ht="12.95" customHeight="1" x14ac:dyDescent="0.2">
      <c r="M377" s="532"/>
      <c r="N377" s="532"/>
      <c r="O377" s="532"/>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row>
    <row r="378" spans="13:38" ht="12.95" customHeight="1" x14ac:dyDescent="0.2">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row>
    <row r="379" spans="13:38" ht="12.95" customHeight="1" x14ac:dyDescent="0.2">
      <c r="M379" s="532"/>
      <c r="N379" s="532"/>
      <c r="O379" s="532"/>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row>
    <row r="380" spans="13:38" ht="12.95" customHeight="1" x14ac:dyDescent="0.2">
      <c r="M380" s="532"/>
      <c r="N380" s="532"/>
      <c r="O380" s="532"/>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row>
    <row r="381" spans="13:38" ht="12.95" customHeight="1" x14ac:dyDescent="0.2">
      <c r="M381" s="532"/>
      <c r="N381" s="532"/>
      <c r="O381" s="532"/>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row>
    <row r="382" spans="13:38" ht="12.95" customHeight="1" x14ac:dyDescent="0.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row>
    <row r="383" spans="13:38" ht="12.95" customHeight="1" x14ac:dyDescent="0.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row>
    <row r="384" spans="13:38" ht="12.95" customHeight="1" x14ac:dyDescent="0.2">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row>
    <row r="385" spans="13:38" ht="12.95" customHeight="1" x14ac:dyDescent="0.2">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row>
    <row r="386" spans="13:38" ht="12.95" customHeight="1" x14ac:dyDescent="0.2">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row>
    <row r="387" spans="13:38" ht="12.95" customHeight="1" x14ac:dyDescent="0.2">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row>
    <row r="388" spans="13:38" ht="12.95" customHeight="1" x14ac:dyDescent="0.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row>
    <row r="389" spans="13:38" ht="12.95" customHeight="1" x14ac:dyDescent="0.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row>
    <row r="390" spans="13:38" ht="12.95" customHeight="1" x14ac:dyDescent="0.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row>
    <row r="391" spans="13:38" ht="12.95" customHeight="1" x14ac:dyDescent="0.2">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row>
    <row r="392" spans="13:38" ht="12.95" customHeight="1" x14ac:dyDescent="0.2">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row>
    <row r="393" spans="13:38" ht="12.95" customHeight="1" x14ac:dyDescent="0.2">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row>
    <row r="394" spans="13:38" ht="12.95" customHeight="1" x14ac:dyDescent="0.2">
      <c r="M394" s="532"/>
      <c r="N394" s="532"/>
      <c r="O394" s="532"/>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row>
    <row r="395" spans="13:38" ht="12.95" customHeight="1" x14ac:dyDescent="0.2">
      <c r="M395" s="532"/>
      <c r="N395" s="532"/>
      <c r="O395" s="532"/>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row>
    <row r="396" spans="13:38" ht="12.95" customHeight="1" x14ac:dyDescent="0.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row>
    <row r="397" spans="13:38" ht="12.95" customHeight="1" x14ac:dyDescent="0.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row>
    <row r="398" spans="13:38" ht="12.95" customHeight="1" x14ac:dyDescent="0.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row>
    <row r="399" spans="13:38" ht="12.95" customHeight="1" x14ac:dyDescent="0.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row>
    <row r="400" spans="13:38" ht="12.95" customHeight="1" x14ac:dyDescent="0.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row>
    <row r="401" spans="13:38" ht="12.95" customHeight="1" x14ac:dyDescent="0.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row>
    <row r="402" spans="13:38" ht="12.95" customHeight="1" x14ac:dyDescent="0.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row>
    <row r="403" spans="13:38" ht="12.95" customHeight="1" x14ac:dyDescent="0.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row>
    <row r="404" spans="13:38" ht="12.95" customHeight="1" x14ac:dyDescent="0.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row>
    <row r="405" spans="13:38" ht="12.95" customHeight="1" x14ac:dyDescent="0.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row>
    <row r="406" spans="13:38" ht="12.95" customHeight="1" x14ac:dyDescent="0.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row>
    <row r="407" spans="13:38" ht="12.95" customHeight="1" x14ac:dyDescent="0.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row>
    <row r="408" spans="13:38" ht="12.95" customHeight="1" x14ac:dyDescent="0.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row>
    <row r="409" spans="13:38" ht="12.95" customHeight="1" x14ac:dyDescent="0.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row>
    <row r="410" spans="13:38" ht="12.95" customHeight="1" x14ac:dyDescent="0.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row>
    <row r="411" spans="13:38" ht="12.95" customHeight="1" x14ac:dyDescent="0.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row>
    <row r="412" spans="13:38" ht="12.95" customHeight="1" x14ac:dyDescent="0.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row>
    <row r="413" spans="13:38" ht="12.95" customHeight="1" x14ac:dyDescent="0.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row>
    <row r="414" spans="13:38" ht="12.95" customHeight="1" x14ac:dyDescent="0.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row>
    <row r="415" spans="13:38" ht="12.95" customHeight="1" x14ac:dyDescent="0.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row>
    <row r="416" spans="13:38" ht="12.95" customHeight="1" x14ac:dyDescent="0.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row>
    <row r="417" spans="13:38" ht="12.95" customHeight="1" x14ac:dyDescent="0.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row>
    <row r="418" spans="13:38" ht="12.95" customHeight="1" x14ac:dyDescent="0.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row>
    <row r="419" spans="13:38" ht="12.95" customHeight="1" x14ac:dyDescent="0.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row>
    <row r="420" spans="13:38" ht="12.95" customHeight="1" x14ac:dyDescent="0.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row>
    <row r="421" spans="13:38" ht="12.95" customHeight="1" x14ac:dyDescent="0.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row>
    <row r="422" spans="13:38" ht="12.95" customHeight="1" x14ac:dyDescent="0.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row>
    <row r="423" spans="13:38" ht="12.95" customHeight="1" x14ac:dyDescent="0.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row>
    <row r="424" spans="13:38" ht="12.95" customHeight="1" x14ac:dyDescent="0.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row>
    <row r="425" spans="13:38" ht="12.95" customHeight="1" x14ac:dyDescent="0.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row>
    <row r="426" spans="13:38" ht="12.95" customHeight="1" x14ac:dyDescent="0.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row>
    <row r="427" spans="13:38" ht="12.95" customHeight="1" x14ac:dyDescent="0.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row>
    <row r="428" spans="13:38" ht="12.95" customHeight="1" x14ac:dyDescent="0.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row>
    <row r="429" spans="13:38" ht="12.95" customHeight="1" x14ac:dyDescent="0.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row>
    <row r="430" spans="13:38" ht="12.95" customHeight="1" x14ac:dyDescent="0.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row>
    <row r="431" spans="13:38" ht="12.95" customHeight="1" x14ac:dyDescent="0.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row>
    <row r="432" spans="13:38" ht="12.95" customHeight="1" x14ac:dyDescent="0.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row>
    <row r="433" spans="13:38" ht="12.95" customHeight="1" x14ac:dyDescent="0.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row>
    <row r="434" spans="13:38" ht="12.95" customHeight="1" x14ac:dyDescent="0.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row>
    <row r="435" spans="13:38" ht="12.95" customHeight="1" x14ac:dyDescent="0.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row>
    <row r="436" spans="13:38" ht="12.95" customHeight="1" x14ac:dyDescent="0.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row>
    <row r="437" spans="13:38" ht="12.95" customHeight="1" x14ac:dyDescent="0.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row>
    <row r="438" spans="13:38" ht="12.95" customHeight="1" x14ac:dyDescent="0.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row>
    <row r="439" spans="13:38" ht="12.95" customHeight="1" x14ac:dyDescent="0.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row>
    <row r="440" spans="13:38" ht="12.95" customHeight="1" x14ac:dyDescent="0.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row>
    <row r="441" spans="13:38" ht="12.95" customHeight="1" x14ac:dyDescent="0.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row>
    <row r="442" spans="13:38" ht="12.95" customHeight="1" x14ac:dyDescent="0.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row>
    <row r="443" spans="13:38" ht="12.95" customHeight="1" x14ac:dyDescent="0.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row>
    <row r="444" spans="13:38" ht="12.95" customHeight="1" x14ac:dyDescent="0.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row>
    <row r="445" spans="13:38" ht="12.95" customHeight="1" x14ac:dyDescent="0.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row>
    <row r="446" spans="13:38" ht="12.95" customHeight="1" x14ac:dyDescent="0.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row>
    <row r="447" spans="13:38" ht="12.95" customHeight="1" x14ac:dyDescent="0.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row>
    <row r="448" spans="13:38" ht="12.95" customHeight="1" x14ac:dyDescent="0.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row>
    <row r="449" spans="13:38" ht="12.95" customHeight="1" x14ac:dyDescent="0.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row>
    <row r="450" spans="13:38" ht="12.95" customHeight="1" x14ac:dyDescent="0.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row>
    <row r="451" spans="13:38" ht="12.95" customHeight="1" x14ac:dyDescent="0.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row>
    <row r="452" spans="13:38" ht="12.95" customHeight="1" x14ac:dyDescent="0.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row>
    <row r="453" spans="13:38" ht="12.95" customHeight="1" x14ac:dyDescent="0.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row>
    <row r="454" spans="13:38" ht="12.95" customHeight="1" x14ac:dyDescent="0.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row>
    <row r="455" spans="13:38" ht="12.95" customHeight="1" x14ac:dyDescent="0.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row>
    <row r="456" spans="13:38" ht="12.95" customHeight="1" x14ac:dyDescent="0.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row>
    <row r="457" spans="13:38" ht="12.95" customHeight="1" x14ac:dyDescent="0.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row>
    <row r="458" spans="13:38" ht="12.95" customHeight="1" x14ac:dyDescent="0.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row>
    <row r="459" spans="13:38" ht="12.95" customHeight="1" x14ac:dyDescent="0.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row>
    <row r="460" spans="13:38" ht="12.95" customHeight="1" x14ac:dyDescent="0.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row>
    <row r="461" spans="13:38" ht="12.95" customHeight="1" x14ac:dyDescent="0.2">
      <c r="M461" s="532"/>
      <c r="N461" s="532"/>
      <c r="O461" s="532"/>
      <c r="P461" s="532"/>
      <c r="Q461" s="532"/>
      <c r="R461" s="532"/>
      <c r="S461" s="532"/>
      <c r="T461" s="532"/>
      <c r="U461" s="532"/>
      <c r="V461" s="532"/>
      <c r="W461" s="532"/>
      <c r="X461" s="532"/>
      <c r="Y461" s="532"/>
      <c r="Z461" s="532"/>
      <c r="AA461" s="532"/>
      <c r="AB461" s="532"/>
      <c r="AC461" s="532"/>
      <c r="AD461" s="532"/>
      <c r="AE461" s="532"/>
      <c r="AF461" s="532"/>
      <c r="AG461" s="532"/>
      <c r="AH461" s="532"/>
      <c r="AI461" s="532"/>
      <c r="AJ461" s="532"/>
      <c r="AK461" s="532"/>
      <c r="AL461" s="532"/>
    </row>
    <row r="462" spans="13:38" ht="12.95" customHeight="1" x14ac:dyDescent="0.2">
      <c r="M462" s="532"/>
      <c r="N462" s="532"/>
      <c r="O462" s="532"/>
      <c r="P462" s="532"/>
      <c r="Q462" s="532"/>
      <c r="R462" s="532"/>
      <c r="S462" s="532"/>
      <c r="T462" s="532"/>
      <c r="U462" s="532"/>
      <c r="V462" s="532"/>
      <c r="W462" s="532"/>
      <c r="X462" s="532"/>
      <c r="Y462" s="532"/>
      <c r="Z462" s="532"/>
      <c r="AA462" s="532"/>
      <c r="AB462" s="532"/>
      <c r="AC462" s="532"/>
      <c r="AD462" s="532"/>
      <c r="AE462" s="532"/>
      <c r="AF462" s="532"/>
      <c r="AG462" s="532"/>
      <c r="AH462" s="532"/>
      <c r="AI462" s="532"/>
      <c r="AJ462" s="532"/>
      <c r="AK462" s="532"/>
      <c r="AL462" s="532"/>
    </row>
    <row r="463" spans="13:38" ht="12.95" customHeight="1" x14ac:dyDescent="0.2">
      <c r="M463" s="532"/>
      <c r="N463" s="532"/>
      <c r="O463" s="532"/>
      <c r="P463" s="532"/>
      <c r="Q463" s="532"/>
      <c r="R463" s="532"/>
      <c r="S463" s="532"/>
      <c r="T463" s="532"/>
      <c r="U463" s="532"/>
      <c r="V463" s="532"/>
      <c r="W463" s="532"/>
      <c r="X463" s="532"/>
      <c r="Y463" s="532"/>
      <c r="Z463" s="532"/>
      <c r="AA463" s="532"/>
      <c r="AB463" s="532"/>
      <c r="AC463" s="532"/>
      <c r="AD463" s="532"/>
      <c r="AE463" s="532"/>
      <c r="AF463" s="532"/>
      <c r="AG463" s="532"/>
      <c r="AH463" s="532"/>
      <c r="AI463" s="532"/>
      <c r="AJ463" s="532"/>
      <c r="AK463" s="532"/>
      <c r="AL463" s="532"/>
    </row>
    <row r="464" spans="13:38" ht="12.95" customHeight="1" x14ac:dyDescent="0.2">
      <c r="M464" s="532"/>
      <c r="N464" s="532"/>
      <c r="O464" s="532"/>
      <c r="P464" s="532"/>
      <c r="Q464" s="532"/>
      <c r="R464" s="532"/>
      <c r="S464" s="532"/>
      <c r="T464" s="532"/>
      <c r="U464" s="532"/>
      <c r="V464" s="532"/>
      <c r="W464" s="532"/>
      <c r="X464" s="532"/>
      <c r="Y464" s="532"/>
      <c r="Z464" s="532"/>
      <c r="AA464" s="532"/>
      <c r="AB464" s="532"/>
      <c r="AC464" s="532"/>
      <c r="AD464" s="532"/>
      <c r="AE464" s="532"/>
      <c r="AF464" s="532"/>
      <c r="AG464" s="532"/>
      <c r="AH464" s="532"/>
      <c r="AI464" s="532"/>
      <c r="AJ464" s="532"/>
      <c r="AK464" s="532"/>
      <c r="AL464" s="532"/>
    </row>
    <row r="465" spans="13:38" ht="12.95" customHeight="1" x14ac:dyDescent="0.2">
      <c r="M465" s="532"/>
      <c r="N465" s="532"/>
      <c r="O465" s="532"/>
      <c r="P465" s="532"/>
      <c r="Q465" s="532"/>
      <c r="R465" s="532"/>
      <c r="S465" s="532"/>
      <c r="T465" s="532"/>
      <c r="U465" s="532"/>
      <c r="V465" s="532"/>
      <c r="W465" s="532"/>
      <c r="X465" s="532"/>
      <c r="Y465" s="532"/>
      <c r="Z465" s="532"/>
      <c r="AA465" s="532"/>
      <c r="AB465" s="532"/>
      <c r="AC465" s="532"/>
      <c r="AD465" s="532"/>
      <c r="AE465" s="532"/>
      <c r="AF465" s="532"/>
      <c r="AG465" s="532"/>
      <c r="AH465" s="532"/>
      <c r="AI465" s="532"/>
      <c r="AJ465" s="532"/>
      <c r="AK465" s="532"/>
      <c r="AL465" s="532"/>
    </row>
    <row r="466" spans="13:38" ht="12.95" customHeight="1" x14ac:dyDescent="0.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row>
    <row r="467" spans="13:38" ht="12.95" customHeight="1" x14ac:dyDescent="0.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row>
    <row r="468" spans="13:38" ht="12.95" customHeight="1" x14ac:dyDescent="0.2">
      <c r="M468" s="532"/>
      <c r="N468" s="532"/>
      <c r="O468" s="532"/>
      <c r="P468" s="532"/>
      <c r="Q468" s="532"/>
      <c r="R468" s="532"/>
      <c r="S468" s="532"/>
      <c r="T468" s="532"/>
      <c r="U468" s="532"/>
      <c r="V468" s="532"/>
      <c r="W468" s="532"/>
      <c r="X468" s="532"/>
      <c r="Y468" s="532"/>
      <c r="Z468" s="532"/>
      <c r="AA468" s="532"/>
      <c r="AB468" s="532"/>
      <c r="AC468" s="532"/>
      <c r="AD468" s="532"/>
      <c r="AE468" s="532"/>
      <c r="AF468" s="532"/>
      <c r="AG468" s="532"/>
      <c r="AH468" s="532"/>
      <c r="AI468" s="532"/>
      <c r="AJ468" s="532"/>
      <c r="AK468" s="532"/>
      <c r="AL468" s="532"/>
    </row>
    <row r="469" spans="13:38" ht="12.95" customHeight="1" x14ac:dyDescent="0.2">
      <c r="M469" s="532"/>
      <c r="N469" s="532"/>
      <c r="O469" s="532"/>
      <c r="P469" s="532"/>
      <c r="Q469" s="532"/>
      <c r="R469" s="532"/>
      <c r="S469" s="532"/>
      <c r="T469" s="532"/>
      <c r="U469" s="532"/>
      <c r="V469" s="532"/>
      <c r="W469" s="532"/>
      <c r="X469" s="532"/>
      <c r="Y469" s="532"/>
      <c r="Z469" s="532"/>
      <c r="AA469" s="532"/>
      <c r="AB469" s="532"/>
      <c r="AC469" s="532"/>
      <c r="AD469" s="532"/>
      <c r="AE469" s="532"/>
      <c r="AF469" s="532"/>
      <c r="AG469" s="532"/>
      <c r="AH469" s="532"/>
      <c r="AI469" s="532"/>
      <c r="AJ469" s="532"/>
      <c r="AK469" s="532"/>
      <c r="AL469" s="532"/>
    </row>
    <row r="470" spans="13:38" ht="12.95" customHeight="1" x14ac:dyDescent="0.2">
      <c r="M470" s="532"/>
      <c r="N470" s="532"/>
      <c r="O470" s="532"/>
      <c r="P470" s="532"/>
      <c r="Q470" s="532"/>
      <c r="R470" s="532"/>
      <c r="S470" s="532"/>
      <c r="T470" s="532"/>
      <c r="U470" s="532"/>
      <c r="V470" s="532"/>
      <c r="W470" s="532"/>
      <c r="X470" s="532"/>
      <c r="Y470" s="532"/>
      <c r="Z470" s="532"/>
      <c r="AA470" s="532"/>
      <c r="AB470" s="532"/>
      <c r="AC470" s="532"/>
      <c r="AD470" s="532"/>
      <c r="AE470" s="532"/>
      <c r="AF470" s="532"/>
      <c r="AG470" s="532"/>
      <c r="AH470" s="532"/>
      <c r="AI470" s="532"/>
      <c r="AJ470" s="532"/>
      <c r="AK470" s="532"/>
      <c r="AL470" s="532"/>
    </row>
    <row r="471" spans="13:38" ht="12.95" customHeight="1" x14ac:dyDescent="0.2">
      <c r="M471" s="532"/>
      <c r="N471" s="532"/>
      <c r="O471" s="532"/>
      <c r="P471" s="532"/>
      <c r="Q471" s="532"/>
      <c r="R471" s="532"/>
      <c r="S471" s="532"/>
      <c r="T471" s="532"/>
      <c r="U471" s="532"/>
      <c r="V471" s="532"/>
      <c r="W471" s="532"/>
      <c r="X471" s="532"/>
      <c r="Y471" s="532"/>
      <c r="Z471" s="532"/>
      <c r="AA471" s="532"/>
      <c r="AB471" s="532"/>
      <c r="AC471" s="532"/>
      <c r="AD471" s="532"/>
      <c r="AE471" s="532"/>
      <c r="AF471" s="532"/>
      <c r="AG471" s="532"/>
      <c r="AH471" s="532"/>
      <c r="AI471" s="532"/>
      <c r="AJ471" s="532"/>
      <c r="AK471" s="532"/>
      <c r="AL471" s="532"/>
    </row>
    <row r="472" spans="13:38" ht="12.95" customHeight="1" x14ac:dyDescent="0.2">
      <c r="M472" s="532"/>
      <c r="N472" s="532"/>
      <c r="O472" s="532"/>
      <c r="P472" s="532"/>
      <c r="Q472" s="532"/>
      <c r="R472" s="532"/>
      <c r="S472" s="532"/>
      <c r="T472" s="532"/>
      <c r="U472" s="532"/>
      <c r="V472" s="532"/>
      <c r="W472" s="532"/>
      <c r="X472" s="532"/>
      <c r="Y472" s="532"/>
      <c r="Z472" s="532"/>
      <c r="AA472" s="532"/>
      <c r="AB472" s="532"/>
      <c r="AC472" s="532"/>
      <c r="AD472" s="532"/>
      <c r="AE472" s="532"/>
      <c r="AF472" s="532"/>
      <c r="AG472" s="532"/>
      <c r="AH472" s="532"/>
      <c r="AI472" s="532"/>
      <c r="AJ472" s="532"/>
      <c r="AK472" s="532"/>
      <c r="AL472" s="532"/>
    </row>
    <row r="473" spans="13:38" ht="12.95" customHeight="1" x14ac:dyDescent="0.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row>
    <row r="474" spans="13:38" ht="12.95" customHeight="1" x14ac:dyDescent="0.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row>
    <row r="475" spans="13:38" ht="12.95" customHeight="1" x14ac:dyDescent="0.2">
      <c r="M475" s="532"/>
      <c r="N475" s="532"/>
      <c r="O475" s="532"/>
      <c r="P475" s="532"/>
      <c r="Q475" s="532"/>
      <c r="R475" s="532"/>
      <c r="S475" s="532"/>
      <c r="T475" s="532"/>
      <c r="U475" s="532"/>
      <c r="V475" s="532"/>
      <c r="W475" s="532"/>
      <c r="X475" s="532"/>
      <c r="Y475" s="532"/>
      <c r="Z475" s="532"/>
      <c r="AA475" s="532"/>
      <c r="AB475" s="532"/>
      <c r="AC475" s="532"/>
      <c r="AD475" s="532"/>
      <c r="AE475" s="532"/>
      <c r="AF475" s="532"/>
      <c r="AG475" s="532"/>
      <c r="AH475" s="532"/>
      <c r="AI475" s="532"/>
      <c r="AJ475" s="532"/>
      <c r="AK475" s="532"/>
      <c r="AL475" s="532"/>
    </row>
    <row r="476" spans="13:38" ht="12.95" customHeight="1" x14ac:dyDescent="0.2">
      <c r="M476" s="532"/>
      <c r="N476" s="532"/>
      <c r="O476" s="532"/>
      <c r="P476" s="532"/>
      <c r="Q476" s="532"/>
      <c r="R476" s="532"/>
      <c r="S476" s="532"/>
      <c r="T476" s="532"/>
      <c r="U476" s="532"/>
      <c r="V476" s="532"/>
      <c r="W476" s="532"/>
      <c r="X476" s="532"/>
      <c r="Y476" s="532"/>
      <c r="Z476" s="532"/>
      <c r="AA476" s="532"/>
      <c r="AB476" s="532"/>
      <c r="AC476" s="532"/>
      <c r="AD476" s="532"/>
      <c r="AE476" s="532"/>
      <c r="AF476" s="532"/>
      <c r="AG476" s="532"/>
      <c r="AH476" s="532"/>
      <c r="AI476" s="532"/>
      <c r="AJ476" s="532"/>
      <c r="AK476" s="532"/>
      <c r="AL476" s="532"/>
    </row>
    <row r="477" spans="13:38" ht="12.95" customHeight="1" x14ac:dyDescent="0.2">
      <c r="M477" s="532"/>
      <c r="N477" s="532"/>
      <c r="O477" s="532"/>
      <c r="P477" s="532"/>
      <c r="Q477" s="532"/>
      <c r="R477" s="532"/>
      <c r="S477" s="532"/>
      <c r="T477" s="532"/>
      <c r="U477" s="532"/>
      <c r="V477" s="532"/>
      <c r="W477" s="532"/>
      <c r="X477" s="532"/>
      <c r="Y477" s="532"/>
      <c r="Z477" s="532"/>
      <c r="AA477" s="532"/>
      <c r="AB477" s="532"/>
      <c r="AC477" s="532"/>
      <c r="AD477" s="532"/>
      <c r="AE477" s="532"/>
      <c r="AF477" s="532"/>
      <c r="AG477" s="532"/>
      <c r="AH477" s="532"/>
      <c r="AI477" s="532"/>
      <c r="AJ477" s="532"/>
      <c r="AK477" s="532"/>
      <c r="AL477" s="532"/>
    </row>
    <row r="478" spans="13:38" ht="12.95" customHeight="1" x14ac:dyDescent="0.2">
      <c r="M478" s="532"/>
      <c r="N478" s="532"/>
      <c r="O478" s="532"/>
      <c r="P478" s="532"/>
      <c r="Q478" s="532"/>
      <c r="R478" s="532"/>
      <c r="S478" s="532"/>
      <c r="T478" s="532"/>
      <c r="U478" s="532"/>
      <c r="V478" s="532"/>
      <c r="W478" s="532"/>
      <c r="X478" s="532"/>
      <c r="Y478" s="532"/>
      <c r="Z478" s="532"/>
      <c r="AA478" s="532"/>
      <c r="AB478" s="532"/>
      <c r="AC478" s="532"/>
      <c r="AD478" s="532"/>
      <c r="AE478" s="532"/>
      <c r="AF478" s="532"/>
      <c r="AG478" s="532"/>
      <c r="AH478" s="532"/>
      <c r="AI478" s="532"/>
      <c r="AJ478" s="532"/>
      <c r="AK478" s="532"/>
      <c r="AL478" s="532"/>
    </row>
    <row r="479" spans="13:38" ht="12.95" customHeight="1" x14ac:dyDescent="0.2">
      <c r="M479" s="532"/>
      <c r="N479" s="532"/>
      <c r="O479" s="532"/>
      <c r="P479" s="532"/>
      <c r="Q479" s="532"/>
      <c r="R479" s="532"/>
      <c r="S479" s="532"/>
      <c r="T479" s="532"/>
      <c r="U479" s="532"/>
      <c r="V479" s="532"/>
      <c r="W479" s="532"/>
      <c r="X479" s="532"/>
      <c r="Y479" s="532"/>
      <c r="Z479" s="532"/>
      <c r="AA479" s="532"/>
      <c r="AB479" s="532"/>
      <c r="AC479" s="532"/>
      <c r="AD479" s="532"/>
      <c r="AE479" s="532"/>
      <c r="AF479" s="532"/>
      <c r="AG479" s="532"/>
      <c r="AH479" s="532"/>
      <c r="AI479" s="532"/>
      <c r="AJ479" s="532"/>
      <c r="AK479" s="532"/>
      <c r="AL479" s="532"/>
    </row>
    <row r="480" spans="13:38" ht="12.95" customHeight="1" x14ac:dyDescent="0.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row>
    <row r="481" spans="13:38" ht="12.95" customHeight="1" x14ac:dyDescent="0.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row>
    <row r="482" spans="13:38" ht="12.95" customHeight="1" x14ac:dyDescent="0.2">
      <c r="M482" s="532"/>
      <c r="N482" s="532"/>
      <c r="O482" s="532"/>
      <c r="P482" s="532"/>
      <c r="Q482" s="532"/>
      <c r="R482" s="532"/>
      <c r="S482" s="532"/>
      <c r="T482" s="532"/>
      <c r="U482" s="532"/>
      <c r="V482" s="532"/>
      <c r="W482" s="532"/>
      <c r="X482" s="532"/>
      <c r="Y482" s="532"/>
      <c r="Z482" s="532"/>
      <c r="AA482" s="532"/>
      <c r="AB482" s="532"/>
      <c r="AC482" s="532"/>
      <c r="AD482" s="532"/>
      <c r="AE482" s="532"/>
      <c r="AF482" s="532"/>
      <c r="AG482" s="532"/>
      <c r="AH482" s="532"/>
      <c r="AI482" s="532"/>
      <c r="AJ482" s="532"/>
      <c r="AK482" s="532"/>
      <c r="AL482" s="532"/>
    </row>
    <row r="483" spans="13:38" ht="12.95" customHeight="1" x14ac:dyDescent="0.2">
      <c r="M483" s="532"/>
      <c r="N483" s="532"/>
      <c r="O483" s="532"/>
      <c r="P483" s="532"/>
      <c r="Q483" s="532"/>
      <c r="R483" s="532"/>
      <c r="S483" s="532"/>
      <c r="T483" s="532"/>
      <c r="U483" s="532"/>
      <c r="V483" s="532"/>
      <c r="W483" s="532"/>
      <c r="X483" s="532"/>
      <c r="Y483" s="532"/>
      <c r="Z483" s="532"/>
      <c r="AA483" s="532"/>
      <c r="AB483" s="532"/>
      <c r="AC483" s="532"/>
      <c r="AD483" s="532"/>
      <c r="AE483" s="532"/>
      <c r="AF483" s="532"/>
      <c r="AG483" s="532"/>
      <c r="AH483" s="532"/>
      <c r="AI483" s="532"/>
      <c r="AJ483" s="532"/>
      <c r="AK483" s="532"/>
      <c r="AL483" s="532"/>
    </row>
    <row r="484" spans="13:38" ht="12.95" customHeight="1" x14ac:dyDescent="0.2">
      <c r="M484" s="532"/>
      <c r="N484" s="532"/>
      <c r="O484" s="532"/>
      <c r="P484" s="532"/>
      <c r="Q484" s="532"/>
      <c r="R484" s="532"/>
      <c r="S484" s="532"/>
      <c r="T484" s="532"/>
      <c r="U484" s="532"/>
      <c r="V484" s="532"/>
      <c r="W484" s="532"/>
      <c r="X484" s="532"/>
      <c r="Y484" s="532"/>
      <c r="Z484" s="532"/>
      <c r="AA484" s="532"/>
      <c r="AB484" s="532"/>
      <c r="AC484" s="532"/>
      <c r="AD484" s="532"/>
      <c r="AE484" s="532"/>
      <c r="AF484" s="532"/>
      <c r="AG484" s="532"/>
      <c r="AH484" s="532"/>
      <c r="AI484" s="532"/>
      <c r="AJ484" s="532"/>
      <c r="AK484" s="532"/>
      <c r="AL484" s="532"/>
    </row>
    <row r="485" spans="13:38" ht="12.95" customHeight="1" x14ac:dyDescent="0.2">
      <c r="M485" s="532"/>
      <c r="N485" s="532"/>
      <c r="O485" s="532"/>
      <c r="P485" s="532"/>
      <c r="Q485" s="532"/>
      <c r="R485" s="532"/>
      <c r="S485" s="532"/>
      <c r="T485" s="532"/>
      <c r="U485" s="532"/>
      <c r="V485" s="532"/>
      <c r="W485" s="532"/>
      <c r="X485" s="532"/>
      <c r="Y485" s="532"/>
      <c r="Z485" s="532"/>
      <c r="AA485" s="532"/>
      <c r="AB485" s="532"/>
      <c r="AC485" s="532"/>
      <c r="AD485" s="532"/>
      <c r="AE485" s="532"/>
      <c r="AF485" s="532"/>
      <c r="AG485" s="532"/>
      <c r="AH485" s="532"/>
      <c r="AI485" s="532"/>
      <c r="AJ485" s="532"/>
      <c r="AK485" s="532"/>
      <c r="AL485" s="532"/>
    </row>
    <row r="486" spans="13:38" ht="12.95" customHeight="1" x14ac:dyDescent="0.2">
      <c r="M486" s="532"/>
      <c r="N486" s="532"/>
      <c r="O486" s="532"/>
      <c r="P486" s="532"/>
      <c r="Q486" s="532"/>
      <c r="R486" s="532"/>
      <c r="S486" s="532"/>
      <c r="T486" s="532"/>
      <c r="U486" s="532"/>
      <c r="V486" s="532"/>
      <c r="W486" s="532"/>
      <c r="X486" s="532"/>
      <c r="Y486" s="532"/>
      <c r="Z486" s="532"/>
      <c r="AA486" s="532"/>
      <c r="AB486" s="532"/>
      <c r="AC486" s="532"/>
      <c r="AD486" s="532"/>
      <c r="AE486" s="532"/>
      <c r="AF486" s="532"/>
      <c r="AG486" s="532"/>
      <c r="AH486" s="532"/>
      <c r="AI486" s="532"/>
      <c r="AJ486" s="532"/>
      <c r="AK486" s="532"/>
      <c r="AL486" s="532"/>
    </row>
    <row r="487" spans="13:38" ht="12.95" customHeight="1" x14ac:dyDescent="0.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row>
    <row r="488" spans="13:38" ht="12.95" customHeight="1" x14ac:dyDescent="0.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row>
    <row r="489" spans="13:38" ht="12.95" customHeight="1" x14ac:dyDescent="0.2">
      <c r="M489" s="532"/>
      <c r="N489" s="532"/>
      <c r="O489" s="532"/>
      <c r="P489" s="532"/>
      <c r="Q489" s="532"/>
      <c r="R489" s="532"/>
      <c r="S489" s="532"/>
      <c r="T489" s="532"/>
      <c r="U489" s="532"/>
      <c r="V489" s="532"/>
      <c r="W489" s="532"/>
      <c r="X489" s="532"/>
      <c r="Y489" s="532"/>
      <c r="Z489" s="532"/>
      <c r="AA489" s="532"/>
      <c r="AB489" s="532"/>
      <c r="AC489" s="532"/>
      <c r="AD489" s="532"/>
      <c r="AE489" s="532"/>
      <c r="AF489" s="532"/>
      <c r="AG489" s="532"/>
      <c r="AH489" s="532"/>
      <c r="AI489" s="532"/>
      <c r="AJ489" s="532"/>
      <c r="AK489" s="532"/>
      <c r="AL489" s="532"/>
    </row>
    <row r="490" spans="13:38" ht="12.95" customHeight="1" x14ac:dyDescent="0.2">
      <c r="M490" s="532"/>
      <c r="N490" s="532"/>
      <c r="O490" s="532"/>
      <c r="P490" s="532"/>
      <c r="Q490" s="532"/>
      <c r="R490" s="532"/>
      <c r="S490" s="532"/>
      <c r="T490" s="532"/>
      <c r="U490" s="532"/>
      <c r="V490" s="532"/>
      <c r="W490" s="532"/>
      <c r="X490" s="532"/>
      <c r="Y490" s="532"/>
      <c r="Z490" s="532"/>
      <c r="AA490" s="532"/>
      <c r="AB490" s="532"/>
      <c r="AC490" s="532"/>
      <c r="AD490" s="532"/>
      <c r="AE490" s="532"/>
      <c r="AF490" s="532"/>
      <c r="AG490" s="532"/>
      <c r="AH490" s="532"/>
      <c r="AI490" s="532"/>
      <c r="AJ490" s="532"/>
      <c r="AK490" s="532"/>
      <c r="AL490" s="532"/>
    </row>
    <row r="491" spans="13:38" ht="12.95" customHeight="1" x14ac:dyDescent="0.2">
      <c r="M491" s="532"/>
      <c r="N491" s="532"/>
      <c r="O491" s="532"/>
      <c r="P491" s="532"/>
      <c r="Q491" s="532"/>
      <c r="R491" s="532"/>
      <c r="S491" s="532"/>
      <c r="T491" s="532"/>
      <c r="U491" s="532"/>
      <c r="V491" s="532"/>
      <c r="W491" s="532"/>
      <c r="X491" s="532"/>
      <c r="Y491" s="532"/>
      <c r="Z491" s="532"/>
      <c r="AA491" s="532"/>
      <c r="AB491" s="532"/>
      <c r="AC491" s="532"/>
      <c r="AD491" s="532"/>
      <c r="AE491" s="532"/>
      <c r="AF491" s="532"/>
      <c r="AG491" s="532"/>
      <c r="AH491" s="532"/>
      <c r="AI491" s="532"/>
      <c r="AJ491" s="532"/>
      <c r="AK491" s="532"/>
      <c r="AL491" s="532"/>
    </row>
    <row r="492" spans="13:38" ht="12.95" customHeight="1" x14ac:dyDescent="0.2">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row>
    <row r="493" spans="13:38" ht="12.95" customHeight="1" x14ac:dyDescent="0.2">
      <c r="M493" s="532"/>
      <c r="N493" s="532"/>
      <c r="O493" s="532"/>
      <c r="P493" s="532"/>
      <c r="Q493" s="532"/>
      <c r="R493" s="532"/>
      <c r="S493" s="532"/>
      <c r="T493" s="532"/>
      <c r="U493" s="532"/>
      <c r="V493" s="532"/>
      <c r="W493" s="532"/>
      <c r="X493" s="532"/>
      <c r="Y493" s="532"/>
      <c r="Z493" s="532"/>
      <c r="AA493" s="532"/>
      <c r="AB493" s="532"/>
      <c r="AC493" s="532"/>
      <c r="AD493" s="532"/>
      <c r="AE493" s="532"/>
      <c r="AF493" s="532"/>
      <c r="AG493" s="532"/>
      <c r="AH493" s="532"/>
      <c r="AI493" s="532"/>
      <c r="AJ493" s="532"/>
      <c r="AK493" s="532"/>
      <c r="AL493" s="532"/>
    </row>
    <row r="494" spans="13:38" ht="12.95" customHeight="1" x14ac:dyDescent="0.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row>
    <row r="495" spans="13:38" ht="12.95" customHeight="1" x14ac:dyDescent="0.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row>
    <row r="496" spans="13:38" ht="12.95" customHeight="1" x14ac:dyDescent="0.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32"/>
      <c r="AL496" s="532"/>
    </row>
    <row r="497" spans="13:38" ht="12.95" customHeight="1" x14ac:dyDescent="0.2">
      <c r="M497" s="532"/>
      <c r="N497" s="532"/>
      <c r="O497" s="532"/>
      <c r="P497" s="532"/>
      <c r="Q497" s="532"/>
      <c r="R497" s="532"/>
      <c r="S497" s="532"/>
      <c r="T497" s="532"/>
      <c r="U497" s="532"/>
      <c r="V497" s="532"/>
      <c r="W497" s="532"/>
      <c r="X497" s="532"/>
      <c r="Y497" s="532"/>
      <c r="Z497" s="532"/>
      <c r="AA497" s="532"/>
      <c r="AB497" s="532"/>
      <c r="AC497" s="532"/>
      <c r="AD497" s="532"/>
      <c r="AE497" s="532"/>
      <c r="AF497" s="532"/>
      <c r="AG497" s="532"/>
      <c r="AH497" s="532"/>
      <c r="AI497" s="532"/>
      <c r="AJ497" s="532"/>
      <c r="AK497" s="532"/>
      <c r="AL497" s="532"/>
    </row>
    <row r="498" spans="13:38" ht="12.95" customHeight="1" x14ac:dyDescent="0.2">
      <c r="M498" s="532"/>
      <c r="N498" s="532"/>
      <c r="O498" s="532"/>
      <c r="P498" s="532"/>
      <c r="Q498" s="532"/>
      <c r="R498" s="532"/>
      <c r="S498" s="532"/>
      <c r="T498" s="532"/>
      <c r="U498" s="532"/>
      <c r="V498" s="532"/>
      <c r="W498" s="532"/>
      <c r="X498" s="532"/>
      <c r="Y498" s="532"/>
      <c r="Z498" s="532"/>
      <c r="AA498" s="532"/>
      <c r="AB498" s="532"/>
      <c r="AC498" s="532"/>
      <c r="AD498" s="532"/>
      <c r="AE498" s="532"/>
      <c r="AF498" s="532"/>
      <c r="AG498" s="532"/>
      <c r="AH498" s="532"/>
      <c r="AI498" s="532"/>
      <c r="AJ498" s="532"/>
      <c r="AK498" s="532"/>
      <c r="AL498" s="532"/>
    </row>
    <row r="499" spans="13:38" ht="12.95" customHeight="1" x14ac:dyDescent="0.2">
      <c r="M499" s="532"/>
      <c r="N499" s="532"/>
      <c r="O499" s="532"/>
      <c r="P499" s="532"/>
      <c r="Q499" s="532"/>
      <c r="R499" s="532"/>
      <c r="S499" s="532"/>
      <c r="T499" s="532"/>
      <c r="U499" s="532"/>
      <c r="V499" s="532"/>
      <c r="W499" s="532"/>
      <c r="X499" s="532"/>
      <c r="Y499" s="532"/>
      <c r="Z499" s="532"/>
      <c r="AA499" s="532"/>
      <c r="AB499" s="532"/>
      <c r="AC499" s="532"/>
      <c r="AD499" s="532"/>
      <c r="AE499" s="532"/>
      <c r="AF499" s="532"/>
      <c r="AG499" s="532"/>
      <c r="AH499" s="532"/>
      <c r="AI499" s="532"/>
      <c r="AJ499" s="532"/>
      <c r="AK499" s="532"/>
      <c r="AL499" s="532"/>
    </row>
    <row r="500" spans="13:38" ht="12.95" customHeight="1" x14ac:dyDescent="0.2">
      <c r="M500" s="532"/>
      <c r="N500" s="532"/>
      <c r="O500" s="532"/>
      <c r="P500" s="532"/>
      <c r="Q500" s="532"/>
      <c r="R500" s="532"/>
      <c r="S500" s="532"/>
      <c r="T500" s="532"/>
      <c r="U500" s="532"/>
      <c r="V500" s="532"/>
      <c r="W500" s="532"/>
      <c r="X500" s="532"/>
      <c r="Y500" s="532"/>
      <c r="Z500" s="532"/>
      <c r="AA500" s="532"/>
      <c r="AB500" s="532"/>
      <c r="AC500" s="532"/>
      <c r="AD500" s="532"/>
      <c r="AE500" s="532"/>
      <c r="AF500" s="532"/>
      <c r="AG500" s="532"/>
      <c r="AH500" s="532"/>
      <c r="AI500" s="532"/>
      <c r="AJ500" s="532"/>
      <c r="AK500" s="532"/>
      <c r="AL500" s="532"/>
    </row>
    <row r="501" spans="13:38" ht="12.95" customHeight="1" x14ac:dyDescent="0.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row>
    <row r="502" spans="13:38" ht="12.95" customHeight="1" x14ac:dyDescent="0.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row>
    <row r="503" spans="13:38" ht="12.95" customHeight="1" x14ac:dyDescent="0.2">
      <c r="M503" s="532"/>
      <c r="N503" s="532"/>
      <c r="O503" s="532"/>
      <c r="P503" s="532"/>
      <c r="Q503" s="532"/>
      <c r="R503" s="532"/>
      <c r="S503" s="532"/>
      <c r="T503" s="532"/>
      <c r="U503" s="532"/>
      <c r="V503" s="532"/>
      <c r="W503" s="532"/>
      <c r="X503" s="532"/>
      <c r="Y503" s="532"/>
      <c r="Z503" s="532"/>
      <c r="AA503" s="532"/>
      <c r="AB503" s="532"/>
      <c r="AC503" s="532"/>
      <c r="AD503" s="532"/>
      <c r="AE503" s="532"/>
      <c r="AF503" s="532"/>
      <c r="AG503" s="532"/>
      <c r="AH503" s="532"/>
      <c r="AI503" s="532"/>
      <c r="AJ503" s="532"/>
      <c r="AK503" s="532"/>
      <c r="AL503" s="532"/>
    </row>
    <row r="504" spans="13:38" ht="12.95" customHeight="1" x14ac:dyDescent="0.2">
      <c r="M504" s="532"/>
      <c r="N504" s="532"/>
      <c r="O504" s="532"/>
      <c r="P504" s="532"/>
      <c r="Q504" s="532"/>
      <c r="R504" s="532"/>
      <c r="S504" s="532"/>
      <c r="T504" s="532"/>
      <c r="U504" s="532"/>
      <c r="V504" s="532"/>
      <c r="W504" s="532"/>
      <c r="X504" s="532"/>
      <c r="Y504" s="532"/>
      <c r="Z504" s="532"/>
      <c r="AA504" s="532"/>
      <c r="AB504" s="532"/>
      <c r="AC504" s="532"/>
      <c r="AD504" s="532"/>
      <c r="AE504" s="532"/>
      <c r="AF504" s="532"/>
      <c r="AG504" s="532"/>
      <c r="AH504" s="532"/>
      <c r="AI504" s="532"/>
      <c r="AJ504" s="532"/>
      <c r="AK504" s="532"/>
      <c r="AL504" s="532"/>
    </row>
    <row r="505" spans="13:38" ht="12.95" customHeight="1" x14ac:dyDescent="0.2">
      <c r="M505" s="532"/>
      <c r="N505" s="532"/>
      <c r="O505" s="532"/>
      <c r="P505" s="532"/>
      <c r="Q505" s="532"/>
      <c r="R505" s="532"/>
      <c r="S505" s="532"/>
      <c r="T505" s="532"/>
      <c r="U505" s="532"/>
      <c r="V505" s="532"/>
      <c r="W505" s="532"/>
      <c r="X505" s="532"/>
      <c r="Y505" s="532"/>
      <c r="Z505" s="532"/>
      <c r="AA505" s="532"/>
      <c r="AB505" s="532"/>
      <c r="AC505" s="532"/>
      <c r="AD505" s="532"/>
      <c r="AE505" s="532"/>
      <c r="AF505" s="532"/>
      <c r="AG505" s="532"/>
      <c r="AH505" s="532"/>
      <c r="AI505" s="532"/>
      <c r="AJ505" s="532"/>
      <c r="AK505" s="532"/>
      <c r="AL505" s="532"/>
    </row>
    <row r="506" spans="13:38" ht="12.95" customHeight="1" x14ac:dyDescent="0.2">
      <c r="M506" s="532"/>
      <c r="N506" s="532"/>
      <c r="O506" s="532"/>
      <c r="P506" s="532"/>
      <c r="Q506" s="532"/>
      <c r="R506" s="532"/>
      <c r="S506" s="532"/>
      <c r="T506" s="532"/>
      <c r="U506" s="532"/>
      <c r="V506" s="532"/>
      <c r="W506" s="532"/>
      <c r="X506" s="532"/>
      <c r="Y506" s="532"/>
      <c r="Z506" s="532"/>
      <c r="AA506" s="532"/>
      <c r="AB506" s="532"/>
      <c r="AC506" s="532"/>
      <c r="AD506" s="532"/>
      <c r="AE506" s="532"/>
      <c r="AF506" s="532"/>
      <c r="AG506" s="532"/>
      <c r="AH506" s="532"/>
      <c r="AI506" s="532"/>
      <c r="AJ506" s="532"/>
      <c r="AK506" s="532"/>
      <c r="AL506" s="532"/>
    </row>
    <row r="507" spans="13:38" ht="12.95" customHeight="1" x14ac:dyDescent="0.2">
      <c r="M507" s="532"/>
      <c r="N507" s="532"/>
      <c r="O507" s="532"/>
      <c r="P507" s="532"/>
      <c r="Q507" s="532"/>
      <c r="R507" s="532"/>
      <c r="S507" s="532"/>
      <c r="T507" s="532"/>
      <c r="U507" s="532"/>
      <c r="V507" s="532"/>
      <c r="W507" s="532"/>
      <c r="X507" s="532"/>
      <c r="Y507" s="532"/>
      <c r="Z507" s="532"/>
      <c r="AA507" s="532"/>
      <c r="AB507" s="532"/>
      <c r="AC507" s="532"/>
      <c r="AD507" s="532"/>
      <c r="AE507" s="532"/>
      <c r="AF507" s="532"/>
      <c r="AG507" s="532"/>
      <c r="AH507" s="532"/>
      <c r="AI507" s="532"/>
      <c r="AJ507" s="532"/>
      <c r="AK507" s="532"/>
      <c r="AL507" s="532"/>
    </row>
    <row r="508" spans="13:38" ht="12.95" customHeight="1" x14ac:dyDescent="0.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row>
    <row r="509" spans="13:38" ht="12.95" customHeight="1" x14ac:dyDescent="0.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row>
    <row r="510" spans="13:38" ht="12.95" customHeight="1" x14ac:dyDescent="0.2">
      <c r="M510" s="532"/>
      <c r="N510" s="532"/>
      <c r="O510" s="532"/>
      <c r="P510" s="532"/>
      <c r="Q510" s="532"/>
      <c r="R510" s="532"/>
      <c r="S510" s="532"/>
      <c r="T510" s="532"/>
      <c r="U510" s="532"/>
      <c r="V510" s="532"/>
      <c r="W510" s="532"/>
      <c r="X510" s="532"/>
      <c r="Y510" s="532"/>
      <c r="Z510" s="532"/>
      <c r="AA510" s="532"/>
      <c r="AB510" s="532"/>
      <c r="AC510" s="532"/>
      <c r="AD510" s="532"/>
      <c r="AE510" s="532"/>
      <c r="AF510" s="532"/>
      <c r="AG510" s="532"/>
      <c r="AH510" s="532"/>
      <c r="AI510" s="532"/>
      <c r="AJ510" s="532"/>
      <c r="AK510" s="532"/>
      <c r="AL510" s="532"/>
    </row>
    <row r="511" spans="13:38" ht="12.95" customHeight="1" x14ac:dyDescent="0.2">
      <c r="M511" s="532"/>
      <c r="N511" s="532"/>
      <c r="O511" s="532"/>
      <c r="P511" s="532"/>
      <c r="Q511" s="532"/>
      <c r="R511" s="532"/>
      <c r="S511" s="532"/>
      <c r="T511" s="532"/>
      <c r="U511" s="532"/>
      <c r="V511" s="532"/>
      <c r="W511" s="532"/>
      <c r="X511" s="532"/>
      <c r="Y511" s="532"/>
      <c r="Z511" s="532"/>
      <c r="AA511" s="532"/>
      <c r="AB511" s="532"/>
      <c r="AC511" s="532"/>
      <c r="AD511" s="532"/>
      <c r="AE511" s="532"/>
      <c r="AF511" s="532"/>
      <c r="AG511" s="532"/>
      <c r="AH511" s="532"/>
      <c r="AI511" s="532"/>
      <c r="AJ511" s="532"/>
      <c r="AK511" s="532"/>
      <c r="AL511" s="532"/>
    </row>
    <row r="512" spans="13:38" ht="12.95" customHeight="1" x14ac:dyDescent="0.2">
      <c r="M512" s="532"/>
      <c r="N512" s="532"/>
      <c r="O512" s="532"/>
      <c r="P512" s="532"/>
      <c r="Q512" s="532"/>
      <c r="R512" s="532"/>
      <c r="S512" s="532"/>
      <c r="T512" s="532"/>
      <c r="U512" s="532"/>
      <c r="V512" s="532"/>
      <c r="W512" s="532"/>
      <c r="X512" s="532"/>
      <c r="Y512" s="532"/>
      <c r="Z512" s="532"/>
      <c r="AA512" s="532"/>
      <c r="AB512" s="532"/>
      <c r="AC512" s="532"/>
      <c r="AD512" s="532"/>
      <c r="AE512" s="532"/>
      <c r="AF512" s="532"/>
      <c r="AG512" s="532"/>
      <c r="AH512" s="532"/>
      <c r="AI512" s="532"/>
      <c r="AJ512" s="532"/>
      <c r="AK512" s="532"/>
      <c r="AL512" s="532"/>
    </row>
    <row r="513" spans="13:38" ht="12.95" customHeight="1" x14ac:dyDescent="0.2">
      <c r="M513" s="532"/>
      <c r="N513" s="532"/>
      <c r="O513" s="532"/>
      <c r="P513" s="532"/>
      <c r="Q513" s="532"/>
      <c r="R513" s="532"/>
      <c r="S513" s="532"/>
      <c r="T513" s="532"/>
      <c r="U513" s="532"/>
      <c r="V513" s="532"/>
      <c r="W513" s="532"/>
      <c r="X513" s="532"/>
      <c r="Y513" s="532"/>
      <c r="Z513" s="532"/>
      <c r="AA513" s="532"/>
      <c r="AB513" s="532"/>
      <c r="AC513" s="532"/>
      <c r="AD513" s="532"/>
      <c r="AE513" s="532"/>
      <c r="AF513" s="532"/>
      <c r="AG513" s="532"/>
      <c r="AH513" s="532"/>
      <c r="AI513" s="532"/>
      <c r="AJ513" s="532"/>
      <c r="AK513" s="532"/>
      <c r="AL513" s="532"/>
    </row>
    <row r="514" spans="13:38" ht="12.95" customHeight="1" x14ac:dyDescent="0.2">
      <c r="M514" s="532"/>
      <c r="N514" s="532"/>
      <c r="O514" s="532"/>
      <c r="P514" s="532"/>
      <c r="Q514" s="532"/>
      <c r="R514" s="532"/>
      <c r="S514" s="532"/>
      <c r="T514" s="532"/>
      <c r="U514" s="532"/>
      <c r="V514" s="532"/>
      <c r="W514" s="532"/>
      <c r="X514" s="532"/>
      <c r="Y514" s="532"/>
      <c r="Z514" s="532"/>
      <c r="AA514" s="532"/>
      <c r="AB514" s="532"/>
      <c r="AC514" s="532"/>
      <c r="AD514" s="532"/>
      <c r="AE514" s="532"/>
      <c r="AF514" s="532"/>
      <c r="AG514" s="532"/>
      <c r="AH514" s="532"/>
      <c r="AI514" s="532"/>
      <c r="AJ514" s="532"/>
      <c r="AK514" s="532"/>
      <c r="AL514" s="532"/>
    </row>
    <row r="515" spans="13:38" ht="12.95" customHeight="1" x14ac:dyDescent="0.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row>
    <row r="516" spans="13:38" ht="12.95" customHeight="1" x14ac:dyDescent="0.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row>
    <row r="517" spans="13:38" ht="12.95" customHeight="1" x14ac:dyDescent="0.2">
      <c r="M517" s="532"/>
      <c r="N517" s="532"/>
      <c r="O517" s="532"/>
      <c r="P517" s="532"/>
      <c r="Q517" s="532"/>
      <c r="R517" s="532"/>
      <c r="S517" s="532"/>
      <c r="T517" s="532"/>
      <c r="U517" s="532"/>
      <c r="V517" s="532"/>
      <c r="W517" s="532"/>
      <c r="X517" s="532"/>
      <c r="Y517" s="532"/>
      <c r="Z517" s="532"/>
      <c r="AA517" s="532"/>
      <c r="AB517" s="532"/>
      <c r="AC517" s="532"/>
      <c r="AD517" s="532"/>
      <c r="AE517" s="532"/>
      <c r="AF517" s="532"/>
      <c r="AG517" s="532"/>
      <c r="AH517" s="532"/>
      <c r="AI517" s="532"/>
      <c r="AJ517" s="532"/>
      <c r="AK517" s="532"/>
      <c r="AL517" s="532"/>
    </row>
    <row r="518" spans="13:38" ht="12.95" customHeight="1" x14ac:dyDescent="0.2">
      <c r="M518" s="532"/>
      <c r="N518" s="532"/>
      <c r="O518" s="532"/>
      <c r="P518" s="532"/>
      <c r="Q518" s="532"/>
      <c r="R518" s="532"/>
      <c r="S518" s="532"/>
      <c r="T518" s="532"/>
      <c r="U518" s="532"/>
      <c r="V518" s="532"/>
      <c r="W518" s="532"/>
      <c r="X518" s="532"/>
      <c r="Y518" s="532"/>
      <c r="Z518" s="532"/>
      <c r="AA518" s="532"/>
      <c r="AB518" s="532"/>
      <c r="AC518" s="532"/>
      <c r="AD518" s="532"/>
      <c r="AE518" s="532"/>
      <c r="AF518" s="532"/>
      <c r="AG518" s="532"/>
      <c r="AH518" s="532"/>
      <c r="AI518" s="532"/>
      <c r="AJ518" s="532"/>
      <c r="AK518" s="532"/>
      <c r="AL518" s="532"/>
    </row>
    <row r="519" spans="13:38" ht="12.95" customHeight="1" x14ac:dyDescent="0.2">
      <c r="M519" s="532"/>
      <c r="N519" s="532"/>
      <c r="O519" s="532"/>
      <c r="P519" s="532"/>
      <c r="Q519" s="532"/>
      <c r="R519" s="532"/>
      <c r="S519" s="532"/>
      <c r="T519" s="532"/>
      <c r="U519" s="532"/>
      <c r="V519" s="532"/>
      <c r="W519" s="532"/>
      <c r="X519" s="532"/>
      <c r="Y519" s="532"/>
      <c r="Z519" s="532"/>
      <c r="AA519" s="532"/>
      <c r="AB519" s="532"/>
      <c r="AC519" s="532"/>
      <c r="AD519" s="532"/>
      <c r="AE519" s="532"/>
      <c r="AF519" s="532"/>
      <c r="AG519" s="532"/>
      <c r="AH519" s="532"/>
      <c r="AI519" s="532"/>
      <c r="AJ519" s="532"/>
      <c r="AK519" s="532"/>
      <c r="AL519" s="532"/>
    </row>
    <row r="520" spans="13:38" ht="12.95" customHeight="1" x14ac:dyDescent="0.2">
      <c r="M520" s="532"/>
      <c r="N520" s="532"/>
      <c r="O520" s="532"/>
      <c r="P520" s="532"/>
      <c r="Q520" s="532"/>
      <c r="R520" s="532"/>
      <c r="S520" s="532"/>
      <c r="T520" s="532"/>
      <c r="U520" s="532"/>
      <c r="V520" s="532"/>
      <c r="W520" s="532"/>
      <c r="X520" s="532"/>
      <c r="Y520" s="532"/>
      <c r="Z520" s="532"/>
      <c r="AA520" s="532"/>
      <c r="AB520" s="532"/>
      <c r="AC520" s="532"/>
      <c r="AD520" s="532"/>
      <c r="AE520" s="532"/>
      <c r="AF520" s="532"/>
      <c r="AG520" s="532"/>
      <c r="AH520" s="532"/>
      <c r="AI520" s="532"/>
      <c r="AJ520" s="532"/>
      <c r="AK520" s="532"/>
      <c r="AL520" s="532"/>
    </row>
    <row r="521" spans="13:38" ht="12.95" customHeight="1" x14ac:dyDescent="0.2">
      <c r="M521" s="532"/>
      <c r="N521" s="532"/>
      <c r="O521" s="532"/>
      <c r="P521" s="532"/>
      <c r="Q521" s="532"/>
      <c r="R521" s="532"/>
      <c r="S521" s="532"/>
      <c r="T521" s="532"/>
      <c r="U521" s="532"/>
      <c r="V521" s="532"/>
      <c r="W521" s="532"/>
      <c r="X521" s="532"/>
      <c r="Y521" s="532"/>
      <c r="Z521" s="532"/>
      <c r="AA521" s="532"/>
      <c r="AB521" s="532"/>
      <c r="AC521" s="532"/>
      <c r="AD521" s="532"/>
      <c r="AE521" s="532"/>
      <c r="AF521" s="532"/>
      <c r="AG521" s="532"/>
      <c r="AH521" s="532"/>
      <c r="AI521" s="532"/>
      <c r="AJ521" s="532"/>
      <c r="AK521" s="532"/>
      <c r="AL521" s="532"/>
    </row>
    <row r="522" spans="13:38" ht="12.95" customHeight="1" x14ac:dyDescent="0.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row>
    <row r="523" spans="13:38" ht="12.95" customHeight="1" x14ac:dyDescent="0.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row>
    <row r="524" spans="13:38" ht="12.95" customHeight="1" x14ac:dyDescent="0.2">
      <c r="M524" s="532"/>
      <c r="N524" s="532"/>
      <c r="O524" s="532"/>
      <c r="P524" s="532"/>
      <c r="Q524" s="532"/>
      <c r="R524" s="532"/>
      <c r="S524" s="532"/>
      <c r="T524" s="532"/>
      <c r="U524" s="532"/>
      <c r="V524" s="532"/>
      <c r="W524" s="532"/>
      <c r="X524" s="532"/>
      <c r="Y524" s="532"/>
      <c r="Z524" s="532"/>
      <c r="AA524" s="532"/>
      <c r="AB524" s="532"/>
      <c r="AC524" s="532"/>
      <c r="AD524" s="532"/>
      <c r="AE524" s="532"/>
      <c r="AF524" s="532"/>
      <c r="AG524" s="532"/>
      <c r="AH524" s="532"/>
      <c r="AI524" s="532"/>
      <c r="AJ524" s="532"/>
      <c r="AK524" s="532"/>
      <c r="AL524" s="532"/>
    </row>
    <row r="525" spans="13:38" ht="12.95" customHeight="1" x14ac:dyDescent="0.2">
      <c r="M525" s="532"/>
      <c r="N525" s="532"/>
      <c r="O525" s="532"/>
      <c r="P525" s="532"/>
      <c r="Q525" s="532"/>
      <c r="R525" s="532"/>
      <c r="S525" s="532"/>
      <c r="T525" s="532"/>
      <c r="U525" s="532"/>
      <c r="V525" s="532"/>
      <c r="W525" s="532"/>
      <c r="X525" s="532"/>
      <c r="Y525" s="532"/>
      <c r="Z525" s="532"/>
      <c r="AA525" s="532"/>
      <c r="AB525" s="532"/>
      <c r="AC525" s="532"/>
      <c r="AD525" s="532"/>
      <c r="AE525" s="532"/>
      <c r="AF525" s="532"/>
      <c r="AG525" s="532"/>
      <c r="AH525" s="532"/>
      <c r="AI525" s="532"/>
      <c r="AJ525" s="532"/>
      <c r="AK525" s="532"/>
      <c r="AL525" s="532"/>
    </row>
    <row r="526" spans="13:38" ht="12.95" customHeight="1" x14ac:dyDescent="0.2">
      <c r="M526" s="532"/>
      <c r="N526" s="532"/>
      <c r="O526" s="532"/>
      <c r="P526" s="532"/>
      <c r="Q526" s="532"/>
      <c r="R526" s="532"/>
      <c r="S526" s="532"/>
      <c r="T526" s="532"/>
      <c r="U526" s="532"/>
      <c r="V526" s="532"/>
      <c r="W526" s="532"/>
      <c r="X526" s="532"/>
      <c r="Y526" s="532"/>
      <c r="Z526" s="532"/>
      <c r="AA526" s="532"/>
      <c r="AB526" s="532"/>
      <c r="AC526" s="532"/>
      <c r="AD526" s="532"/>
      <c r="AE526" s="532"/>
      <c r="AF526" s="532"/>
      <c r="AG526" s="532"/>
      <c r="AH526" s="532"/>
      <c r="AI526" s="532"/>
      <c r="AJ526" s="532"/>
      <c r="AK526" s="532"/>
      <c r="AL526" s="532"/>
    </row>
    <row r="527" spans="13:38" ht="12.95" customHeight="1" x14ac:dyDescent="0.2">
      <c r="M527" s="532"/>
      <c r="N527" s="532"/>
      <c r="O527" s="532"/>
      <c r="P527" s="532"/>
      <c r="Q527" s="532"/>
      <c r="R527" s="532"/>
      <c r="S527" s="532"/>
      <c r="T527" s="532"/>
      <c r="U527" s="532"/>
      <c r="V527" s="532"/>
      <c r="W527" s="532"/>
      <c r="X527" s="532"/>
      <c r="Y527" s="532"/>
      <c r="Z527" s="532"/>
      <c r="AA527" s="532"/>
      <c r="AB527" s="532"/>
      <c r="AC527" s="532"/>
      <c r="AD527" s="532"/>
      <c r="AE527" s="532"/>
      <c r="AF527" s="532"/>
      <c r="AG527" s="532"/>
      <c r="AH527" s="532"/>
      <c r="AI527" s="532"/>
      <c r="AJ527" s="532"/>
      <c r="AK527" s="532"/>
      <c r="AL527" s="532"/>
    </row>
    <row r="528" spans="13:38" ht="12.95" customHeight="1" x14ac:dyDescent="0.2">
      <c r="M528" s="532"/>
      <c r="N528" s="532"/>
      <c r="O528" s="532"/>
      <c r="P528" s="532"/>
      <c r="Q528" s="532"/>
      <c r="R528" s="532"/>
      <c r="S528" s="532"/>
      <c r="T528" s="532"/>
      <c r="U528" s="532"/>
      <c r="V528" s="532"/>
      <c r="W528" s="532"/>
      <c r="X528" s="532"/>
      <c r="Y528" s="532"/>
      <c r="Z528" s="532"/>
      <c r="AA528" s="532"/>
      <c r="AB528" s="532"/>
      <c r="AC528" s="532"/>
      <c r="AD528" s="532"/>
      <c r="AE528" s="532"/>
      <c r="AF528" s="532"/>
      <c r="AG528" s="532"/>
      <c r="AH528" s="532"/>
      <c r="AI528" s="532"/>
      <c r="AJ528" s="532"/>
      <c r="AK528" s="532"/>
      <c r="AL528" s="532"/>
    </row>
    <row r="529" spans="13:38" ht="12.95" customHeight="1" x14ac:dyDescent="0.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row>
    <row r="530" spans="13:38" ht="12.95" customHeight="1" x14ac:dyDescent="0.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row>
    <row r="531" spans="13:38" ht="12.95" customHeight="1" x14ac:dyDescent="0.2">
      <c r="M531" s="532"/>
      <c r="N531" s="532"/>
      <c r="O531" s="532"/>
      <c r="P531" s="532"/>
      <c r="Q531" s="532"/>
      <c r="R531" s="532"/>
      <c r="S531" s="532"/>
      <c r="T531" s="532"/>
      <c r="U531" s="532"/>
      <c r="V531" s="532"/>
      <c r="W531" s="532"/>
      <c r="X531" s="532"/>
      <c r="Y531" s="532"/>
      <c r="Z531" s="532"/>
      <c r="AA531" s="532"/>
      <c r="AB531" s="532"/>
      <c r="AC531" s="532"/>
      <c r="AD531" s="532"/>
      <c r="AE531" s="532"/>
      <c r="AF531" s="532"/>
      <c r="AG531" s="532"/>
      <c r="AH531" s="532"/>
      <c r="AI531" s="532"/>
      <c r="AJ531" s="532"/>
      <c r="AK531" s="532"/>
      <c r="AL531" s="532"/>
    </row>
    <row r="532" spans="13:38" ht="12.95" customHeight="1" x14ac:dyDescent="0.2">
      <c r="M532" s="532"/>
      <c r="N532" s="532"/>
      <c r="O532" s="532"/>
      <c r="P532" s="532"/>
      <c r="Q532" s="532"/>
      <c r="R532" s="532"/>
      <c r="S532" s="532"/>
      <c r="T532" s="532"/>
      <c r="U532" s="532"/>
      <c r="V532" s="532"/>
      <c r="W532" s="532"/>
      <c r="X532" s="532"/>
      <c r="Y532" s="532"/>
      <c r="Z532" s="532"/>
      <c r="AA532" s="532"/>
      <c r="AB532" s="532"/>
      <c r="AC532" s="532"/>
      <c r="AD532" s="532"/>
      <c r="AE532" s="532"/>
      <c r="AF532" s="532"/>
      <c r="AG532" s="532"/>
      <c r="AH532" s="532"/>
      <c r="AI532" s="532"/>
      <c r="AJ532" s="532"/>
      <c r="AK532" s="532"/>
      <c r="AL532" s="532"/>
    </row>
    <row r="533" spans="13:38" ht="12.95" customHeight="1" x14ac:dyDescent="0.2">
      <c r="M533" s="532"/>
      <c r="N533" s="532"/>
      <c r="O533" s="532"/>
      <c r="P533" s="532"/>
      <c r="Q533" s="532"/>
      <c r="R533" s="532"/>
      <c r="S533" s="532"/>
      <c r="T533" s="532"/>
      <c r="U533" s="532"/>
      <c r="V533" s="532"/>
      <c r="W533" s="532"/>
      <c r="X533" s="532"/>
      <c r="Y533" s="532"/>
      <c r="Z533" s="532"/>
      <c r="AA533" s="532"/>
      <c r="AB533" s="532"/>
      <c r="AC533" s="532"/>
      <c r="AD533" s="532"/>
      <c r="AE533" s="532"/>
      <c r="AF533" s="532"/>
      <c r="AG533" s="532"/>
      <c r="AH533" s="532"/>
      <c r="AI533" s="532"/>
      <c r="AJ533" s="532"/>
      <c r="AK533" s="532"/>
      <c r="AL533" s="532"/>
    </row>
    <row r="534" spans="13:38" ht="12.95" customHeight="1" x14ac:dyDescent="0.2">
      <c r="M534" s="532"/>
      <c r="N534" s="532"/>
      <c r="O534" s="532"/>
      <c r="P534" s="532"/>
      <c r="Q534" s="532"/>
      <c r="R534" s="532"/>
      <c r="S534" s="532"/>
      <c r="T534" s="532"/>
      <c r="U534" s="532"/>
      <c r="V534" s="532"/>
      <c r="W534" s="532"/>
      <c r="X534" s="532"/>
      <c r="Y534" s="532"/>
      <c r="Z534" s="532"/>
      <c r="AA534" s="532"/>
      <c r="AB534" s="532"/>
      <c r="AC534" s="532"/>
      <c r="AD534" s="532"/>
      <c r="AE534" s="532"/>
      <c r="AF534" s="532"/>
      <c r="AG534" s="532"/>
      <c r="AH534" s="532"/>
      <c r="AI534" s="532"/>
      <c r="AJ534" s="532"/>
      <c r="AK534" s="532"/>
      <c r="AL534" s="532"/>
    </row>
    <row r="535" spans="13:38" ht="12.95" customHeight="1" x14ac:dyDescent="0.2">
      <c r="M535" s="532"/>
      <c r="N535" s="532"/>
      <c r="O535" s="532"/>
      <c r="P535" s="532"/>
      <c r="Q535" s="532"/>
      <c r="R535" s="532"/>
      <c r="S535" s="532"/>
      <c r="T535" s="532"/>
      <c r="U535" s="532"/>
      <c r="V535" s="532"/>
      <c r="W535" s="532"/>
      <c r="X535" s="532"/>
      <c r="Y535" s="532"/>
      <c r="Z535" s="532"/>
      <c r="AA535" s="532"/>
      <c r="AB535" s="532"/>
      <c r="AC535" s="532"/>
      <c r="AD535" s="532"/>
      <c r="AE535" s="532"/>
      <c r="AF535" s="532"/>
      <c r="AG535" s="532"/>
      <c r="AH535" s="532"/>
      <c r="AI535" s="532"/>
      <c r="AJ535" s="532"/>
      <c r="AK535" s="532"/>
      <c r="AL535" s="532"/>
    </row>
    <row r="536" spans="13:38" ht="12.95" customHeight="1" x14ac:dyDescent="0.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row>
    <row r="537" spans="13:38" ht="12.95" customHeight="1" x14ac:dyDescent="0.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row>
    <row r="538" spans="13:38" ht="12.95" customHeight="1" x14ac:dyDescent="0.2">
      <c r="M538" s="532"/>
      <c r="N538" s="532"/>
      <c r="O538" s="532"/>
      <c r="P538" s="532"/>
      <c r="Q538" s="532"/>
      <c r="R538" s="532"/>
      <c r="S538" s="532"/>
      <c r="T538" s="532"/>
      <c r="U538" s="532"/>
      <c r="V538" s="532"/>
      <c r="W538" s="532"/>
      <c r="X538" s="532"/>
      <c r="Y538" s="532"/>
      <c r="Z538" s="532"/>
      <c r="AA538" s="532"/>
      <c r="AB538" s="532"/>
      <c r="AC538" s="532"/>
      <c r="AD538" s="532"/>
      <c r="AE538" s="532"/>
      <c r="AF538" s="532"/>
      <c r="AG538" s="532"/>
      <c r="AH538" s="532"/>
      <c r="AI538" s="532"/>
      <c r="AJ538" s="532"/>
      <c r="AK538" s="532"/>
      <c r="AL538" s="532"/>
    </row>
    <row r="539" spans="13:38" ht="12.95" customHeight="1" x14ac:dyDescent="0.2">
      <c r="M539" s="532"/>
      <c r="N539" s="532"/>
      <c r="O539" s="532"/>
      <c r="P539" s="532"/>
      <c r="Q539" s="532"/>
      <c r="R539" s="532"/>
      <c r="S539" s="532"/>
      <c r="T539" s="532"/>
      <c r="U539" s="532"/>
      <c r="V539" s="532"/>
      <c r="W539" s="532"/>
      <c r="X539" s="532"/>
      <c r="Y539" s="532"/>
      <c r="Z539" s="532"/>
      <c r="AA539" s="532"/>
      <c r="AB539" s="532"/>
      <c r="AC539" s="532"/>
      <c r="AD539" s="532"/>
      <c r="AE539" s="532"/>
      <c r="AF539" s="532"/>
      <c r="AG539" s="532"/>
      <c r="AH539" s="532"/>
      <c r="AI539" s="532"/>
      <c r="AJ539" s="532"/>
      <c r="AK539" s="532"/>
      <c r="AL539" s="532"/>
    </row>
    <row r="540" spans="13:38" ht="12.95" customHeight="1" x14ac:dyDescent="0.2">
      <c r="M540" s="532"/>
      <c r="N540" s="532"/>
      <c r="O540" s="532"/>
      <c r="P540" s="532"/>
      <c r="Q540" s="532"/>
      <c r="R540" s="532"/>
      <c r="S540" s="532"/>
      <c r="T540" s="532"/>
      <c r="U540" s="532"/>
      <c r="V540" s="532"/>
      <c r="W540" s="532"/>
      <c r="X540" s="532"/>
      <c r="Y540" s="532"/>
      <c r="Z540" s="532"/>
      <c r="AA540" s="532"/>
      <c r="AB540" s="532"/>
      <c r="AC540" s="532"/>
      <c r="AD540" s="532"/>
      <c r="AE540" s="532"/>
      <c r="AF540" s="532"/>
      <c r="AG540" s="532"/>
      <c r="AH540" s="532"/>
      <c r="AI540" s="532"/>
      <c r="AJ540" s="532"/>
      <c r="AK540" s="532"/>
      <c r="AL540" s="532"/>
    </row>
    <row r="541" spans="13:38" ht="12.95" customHeight="1" x14ac:dyDescent="0.2">
      <c r="M541" s="532"/>
      <c r="N541" s="532"/>
      <c r="O541" s="532"/>
      <c r="P541" s="532"/>
      <c r="Q541" s="532"/>
      <c r="R541" s="532"/>
      <c r="S541" s="532"/>
      <c r="T541" s="532"/>
      <c r="U541" s="532"/>
      <c r="V541" s="532"/>
      <c r="W541" s="532"/>
      <c r="X541" s="532"/>
      <c r="Y541" s="532"/>
      <c r="Z541" s="532"/>
      <c r="AA541" s="532"/>
      <c r="AB541" s="532"/>
      <c r="AC541" s="532"/>
      <c r="AD541" s="532"/>
      <c r="AE541" s="532"/>
      <c r="AF541" s="532"/>
      <c r="AG541" s="532"/>
      <c r="AH541" s="532"/>
      <c r="AI541" s="532"/>
      <c r="AJ541" s="532"/>
      <c r="AK541" s="532"/>
      <c r="AL541" s="532"/>
    </row>
    <row r="542" spans="13:38" ht="12.95" customHeight="1" x14ac:dyDescent="0.2">
      <c r="M542" s="532"/>
      <c r="N542" s="532"/>
      <c r="O542" s="532"/>
      <c r="P542" s="532"/>
      <c r="Q542" s="532"/>
      <c r="R542" s="532"/>
      <c r="S542" s="532"/>
      <c r="T542" s="532"/>
      <c r="U542" s="532"/>
      <c r="V542" s="532"/>
      <c r="W542" s="532"/>
      <c r="X542" s="532"/>
      <c r="Y542" s="532"/>
      <c r="Z542" s="532"/>
      <c r="AA542" s="532"/>
      <c r="AB542" s="532"/>
      <c r="AC542" s="532"/>
      <c r="AD542" s="532"/>
      <c r="AE542" s="532"/>
      <c r="AF542" s="532"/>
      <c r="AG542" s="532"/>
      <c r="AH542" s="532"/>
      <c r="AI542" s="532"/>
      <c r="AJ542" s="532"/>
      <c r="AK542" s="532"/>
      <c r="AL542" s="532"/>
    </row>
    <row r="543" spans="13:38" ht="12.95" customHeight="1" x14ac:dyDescent="0.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row>
    <row r="544" spans="13:38" ht="12.95" customHeight="1" x14ac:dyDescent="0.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row>
    <row r="545" spans="13:38" ht="12.95" customHeight="1" x14ac:dyDescent="0.2">
      <c r="M545" s="532"/>
      <c r="N545" s="532"/>
      <c r="O545" s="532"/>
      <c r="P545" s="532"/>
      <c r="Q545" s="532"/>
      <c r="R545" s="532"/>
      <c r="S545" s="532"/>
      <c r="T545" s="532"/>
      <c r="U545" s="532"/>
      <c r="V545" s="532"/>
      <c r="W545" s="532"/>
      <c r="X545" s="532"/>
      <c r="Y545" s="532"/>
      <c r="Z545" s="532"/>
      <c r="AA545" s="532"/>
      <c r="AB545" s="532"/>
      <c r="AC545" s="532"/>
      <c r="AD545" s="532"/>
      <c r="AE545" s="532"/>
      <c r="AF545" s="532"/>
      <c r="AG545" s="532"/>
      <c r="AH545" s="532"/>
      <c r="AI545" s="532"/>
      <c r="AJ545" s="532"/>
      <c r="AK545" s="532"/>
      <c r="AL545" s="532"/>
    </row>
    <row r="546" spans="13:38" ht="12.95" customHeight="1" x14ac:dyDescent="0.2">
      <c r="M546" s="532"/>
      <c r="N546" s="532"/>
      <c r="O546" s="532"/>
      <c r="P546" s="532"/>
      <c r="Q546" s="532"/>
      <c r="R546" s="532"/>
      <c r="S546" s="532"/>
      <c r="T546" s="532"/>
      <c r="U546" s="532"/>
      <c r="V546" s="532"/>
      <c r="W546" s="532"/>
      <c r="X546" s="532"/>
      <c r="Y546" s="532"/>
      <c r="Z546" s="532"/>
      <c r="AA546" s="532"/>
      <c r="AB546" s="532"/>
      <c r="AC546" s="532"/>
      <c r="AD546" s="532"/>
      <c r="AE546" s="532"/>
      <c r="AF546" s="532"/>
      <c r="AG546" s="532"/>
      <c r="AH546" s="532"/>
      <c r="AI546" s="532"/>
      <c r="AJ546" s="532"/>
      <c r="AK546" s="532"/>
      <c r="AL546" s="532"/>
    </row>
    <row r="547" spans="13:38" ht="12.95" customHeight="1" x14ac:dyDescent="0.2">
      <c r="M547" s="532"/>
      <c r="N547" s="532"/>
      <c r="O547" s="532"/>
      <c r="P547" s="532"/>
      <c r="Q547" s="532"/>
      <c r="R547" s="532"/>
      <c r="S547" s="532"/>
      <c r="T547" s="532"/>
      <c r="U547" s="532"/>
      <c r="V547" s="532"/>
      <c r="W547" s="532"/>
      <c r="X547" s="532"/>
      <c r="Y547" s="532"/>
      <c r="Z547" s="532"/>
      <c r="AA547" s="532"/>
      <c r="AB547" s="532"/>
      <c r="AC547" s="532"/>
      <c r="AD547" s="532"/>
      <c r="AE547" s="532"/>
      <c r="AF547" s="532"/>
      <c r="AG547" s="532"/>
      <c r="AH547" s="532"/>
      <c r="AI547" s="532"/>
      <c r="AJ547" s="532"/>
      <c r="AK547" s="532"/>
      <c r="AL547" s="532"/>
    </row>
    <row r="548" spans="13:38" ht="12.95" customHeight="1" x14ac:dyDescent="0.2">
      <c r="M548" s="532"/>
      <c r="N548" s="532"/>
      <c r="O548" s="532"/>
      <c r="P548" s="532"/>
      <c r="Q548" s="532"/>
      <c r="R548" s="532"/>
      <c r="S548" s="532"/>
      <c r="T548" s="532"/>
      <c r="U548" s="532"/>
      <c r="V548" s="532"/>
      <c r="W548" s="532"/>
      <c r="X548" s="532"/>
      <c r="Y548" s="532"/>
      <c r="Z548" s="532"/>
      <c r="AA548" s="532"/>
      <c r="AB548" s="532"/>
      <c r="AC548" s="532"/>
      <c r="AD548" s="532"/>
      <c r="AE548" s="532"/>
      <c r="AF548" s="532"/>
      <c r="AG548" s="532"/>
      <c r="AH548" s="532"/>
      <c r="AI548" s="532"/>
      <c r="AJ548" s="532"/>
      <c r="AK548" s="532"/>
      <c r="AL548" s="532"/>
    </row>
    <row r="549" spans="13:38" ht="12.95" customHeight="1" x14ac:dyDescent="0.2">
      <c r="M549" s="532"/>
      <c r="N549" s="532"/>
      <c r="O549" s="532"/>
      <c r="P549" s="532"/>
      <c r="Q549" s="532"/>
      <c r="R549" s="532"/>
      <c r="S549" s="532"/>
      <c r="T549" s="532"/>
      <c r="U549" s="532"/>
      <c r="V549" s="532"/>
      <c r="W549" s="532"/>
      <c r="X549" s="532"/>
      <c r="Y549" s="532"/>
      <c r="Z549" s="532"/>
      <c r="AA549" s="532"/>
      <c r="AB549" s="532"/>
      <c r="AC549" s="532"/>
      <c r="AD549" s="532"/>
      <c r="AE549" s="532"/>
      <c r="AF549" s="532"/>
      <c r="AG549" s="532"/>
      <c r="AH549" s="532"/>
      <c r="AI549" s="532"/>
      <c r="AJ549" s="532"/>
      <c r="AK549" s="532"/>
      <c r="AL549" s="532"/>
    </row>
    <row r="550" spans="13:38" ht="12.95" customHeight="1" x14ac:dyDescent="0.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row>
    <row r="551" spans="13:38" ht="12.95" customHeight="1" x14ac:dyDescent="0.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row>
    <row r="552" spans="13:38" ht="12.95" customHeight="1" x14ac:dyDescent="0.2">
      <c r="M552" s="532"/>
      <c r="N552" s="532"/>
      <c r="O552" s="532"/>
      <c r="P552" s="532"/>
      <c r="Q552" s="532"/>
      <c r="R552" s="532"/>
      <c r="S552" s="532"/>
      <c r="T552" s="532"/>
      <c r="U552" s="532"/>
      <c r="V552" s="532"/>
      <c r="W552" s="532"/>
      <c r="X552" s="532"/>
      <c r="Y552" s="532"/>
      <c r="Z552" s="532"/>
      <c r="AA552" s="532"/>
      <c r="AB552" s="532"/>
      <c r="AC552" s="532"/>
      <c r="AD552" s="532"/>
      <c r="AE552" s="532"/>
      <c r="AF552" s="532"/>
      <c r="AG552" s="532"/>
      <c r="AH552" s="532"/>
      <c r="AI552" s="532"/>
      <c r="AJ552" s="532"/>
      <c r="AK552" s="532"/>
      <c r="AL552" s="532"/>
    </row>
    <row r="553" spans="13:38" ht="12.95" customHeight="1" x14ac:dyDescent="0.2">
      <c r="M553" s="532"/>
      <c r="N553" s="532"/>
      <c r="O553" s="532"/>
      <c r="P553" s="532"/>
      <c r="Q553" s="532"/>
      <c r="R553" s="532"/>
      <c r="S553" s="532"/>
      <c r="T553" s="532"/>
      <c r="U553" s="532"/>
      <c r="V553" s="532"/>
      <c r="W553" s="532"/>
      <c r="X553" s="532"/>
      <c r="Y553" s="532"/>
      <c r="Z553" s="532"/>
      <c r="AA553" s="532"/>
      <c r="AB553" s="532"/>
      <c r="AC553" s="532"/>
      <c r="AD553" s="532"/>
      <c r="AE553" s="532"/>
      <c r="AF553" s="532"/>
      <c r="AG553" s="532"/>
      <c r="AH553" s="532"/>
      <c r="AI553" s="532"/>
      <c r="AJ553" s="532"/>
      <c r="AK553" s="532"/>
      <c r="AL553" s="532"/>
    </row>
    <row r="554" spans="13:38" ht="12.95" customHeight="1" x14ac:dyDescent="0.2">
      <c r="M554" s="532"/>
      <c r="N554" s="532"/>
      <c r="O554" s="532"/>
      <c r="P554" s="532"/>
      <c r="Q554" s="532"/>
      <c r="R554" s="532"/>
      <c r="S554" s="532"/>
      <c r="T554" s="532"/>
      <c r="U554" s="532"/>
      <c r="V554" s="532"/>
      <c r="W554" s="532"/>
      <c r="X554" s="532"/>
      <c r="Y554" s="532"/>
      <c r="Z554" s="532"/>
      <c r="AA554" s="532"/>
      <c r="AB554" s="532"/>
      <c r="AC554" s="532"/>
      <c r="AD554" s="532"/>
      <c r="AE554" s="532"/>
      <c r="AF554" s="532"/>
      <c r="AG554" s="532"/>
      <c r="AH554" s="532"/>
      <c r="AI554" s="532"/>
      <c r="AJ554" s="532"/>
      <c r="AK554" s="532"/>
      <c r="AL554" s="532"/>
    </row>
    <row r="555" spans="13:38" ht="12.95" customHeight="1" x14ac:dyDescent="0.2">
      <c r="M555" s="532"/>
      <c r="N555" s="532"/>
      <c r="O555" s="532"/>
      <c r="P555" s="532"/>
      <c r="Q555" s="532"/>
      <c r="R555" s="532"/>
      <c r="S555" s="532"/>
      <c r="T555" s="532"/>
      <c r="U555" s="532"/>
      <c r="V555" s="532"/>
      <c r="W555" s="532"/>
      <c r="X555" s="532"/>
      <c r="Y555" s="532"/>
      <c r="Z555" s="532"/>
      <c r="AA555" s="532"/>
      <c r="AB555" s="532"/>
      <c r="AC555" s="532"/>
      <c r="AD555" s="532"/>
      <c r="AE555" s="532"/>
      <c r="AF555" s="532"/>
      <c r="AG555" s="532"/>
      <c r="AH555" s="532"/>
      <c r="AI555" s="532"/>
      <c r="AJ555" s="532"/>
      <c r="AK555" s="532"/>
      <c r="AL555" s="532"/>
    </row>
    <row r="556" spans="13:38" ht="12.95" customHeight="1" x14ac:dyDescent="0.2">
      <c r="M556" s="532"/>
      <c r="N556" s="532"/>
      <c r="O556" s="532"/>
      <c r="P556" s="532"/>
      <c r="Q556" s="532"/>
      <c r="R556" s="532"/>
      <c r="S556" s="532"/>
      <c r="T556" s="532"/>
      <c r="U556" s="532"/>
      <c r="V556" s="532"/>
      <c r="W556" s="532"/>
      <c r="X556" s="532"/>
      <c r="Y556" s="532"/>
      <c r="Z556" s="532"/>
      <c r="AA556" s="532"/>
      <c r="AB556" s="532"/>
      <c r="AC556" s="532"/>
      <c r="AD556" s="532"/>
      <c r="AE556" s="532"/>
      <c r="AF556" s="532"/>
      <c r="AG556" s="532"/>
      <c r="AH556" s="532"/>
      <c r="AI556" s="532"/>
      <c r="AJ556" s="532"/>
      <c r="AK556" s="532"/>
      <c r="AL556" s="532"/>
    </row>
    <row r="557" spans="13:38" ht="12.95" customHeight="1" x14ac:dyDescent="0.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row>
    <row r="558" spans="13:38" ht="12.95" customHeight="1" x14ac:dyDescent="0.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row>
    <row r="559" spans="13:38" ht="12.95" customHeight="1" x14ac:dyDescent="0.2">
      <c r="M559" s="532"/>
      <c r="N559" s="532"/>
      <c r="O559" s="532"/>
      <c r="P559" s="532"/>
      <c r="Q559" s="532"/>
      <c r="R559" s="532"/>
      <c r="S559" s="532"/>
      <c r="T559" s="532"/>
      <c r="U559" s="532"/>
      <c r="V559" s="532"/>
      <c r="W559" s="532"/>
      <c r="X559" s="532"/>
      <c r="Y559" s="532"/>
      <c r="Z559" s="532"/>
      <c r="AA559" s="532"/>
      <c r="AB559" s="532"/>
      <c r="AC559" s="532"/>
      <c r="AD559" s="532"/>
      <c r="AE559" s="532"/>
      <c r="AF559" s="532"/>
      <c r="AG559" s="532"/>
      <c r="AH559" s="532"/>
      <c r="AI559" s="532"/>
      <c r="AJ559" s="532"/>
      <c r="AK559" s="532"/>
      <c r="AL559" s="532"/>
    </row>
    <row r="560" spans="13:38" ht="12.95" customHeight="1" x14ac:dyDescent="0.2">
      <c r="M560" s="532"/>
      <c r="N560" s="532"/>
      <c r="O560" s="532"/>
      <c r="P560" s="532"/>
      <c r="Q560" s="532"/>
      <c r="R560" s="532"/>
      <c r="S560" s="532"/>
      <c r="T560" s="532"/>
      <c r="U560" s="532"/>
      <c r="V560" s="532"/>
      <c r="W560" s="532"/>
      <c r="X560" s="532"/>
      <c r="Y560" s="532"/>
      <c r="Z560" s="532"/>
      <c r="AA560" s="532"/>
      <c r="AB560" s="532"/>
      <c r="AC560" s="532"/>
      <c r="AD560" s="532"/>
      <c r="AE560" s="532"/>
      <c r="AF560" s="532"/>
      <c r="AG560" s="532"/>
      <c r="AH560" s="532"/>
      <c r="AI560" s="532"/>
      <c r="AJ560" s="532"/>
      <c r="AK560" s="532"/>
      <c r="AL560" s="532"/>
    </row>
    <row r="561" spans="13:38" ht="12.95" customHeight="1" x14ac:dyDescent="0.2">
      <c r="M561" s="532"/>
      <c r="N561" s="532"/>
      <c r="O561" s="532"/>
      <c r="P561" s="532"/>
      <c r="Q561" s="532"/>
      <c r="R561" s="532"/>
      <c r="S561" s="532"/>
      <c r="T561" s="532"/>
      <c r="U561" s="532"/>
      <c r="V561" s="532"/>
      <c r="W561" s="532"/>
      <c r="X561" s="532"/>
      <c r="Y561" s="532"/>
      <c r="Z561" s="532"/>
      <c r="AA561" s="532"/>
      <c r="AB561" s="532"/>
      <c r="AC561" s="532"/>
      <c r="AD561" s="532"/>
      <c r="AE561" s="532"/>
      <c r="AF561" s="532"/>
      <c r="AG561" s="532"/>
      <c r="AH561" s="532"/>
      <c r="AI561" s="532"/>
      <c r="AJ561" s="532"/>
      <c r="AK561" s="532"/>
      <c r="AL561" s="532"/>
    </row>
    <row r="562" spans="13:38" ht="12.95" customHeight="1" x14ac:dyDescent="0.2">
      <c r="M562" s="532"/>
      <c r="N562" s="532"/>
      <c r="O562" s="532"/>
      <c r="P562" s="532"/>
      <c r="Q562" s="532"/>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row>
    <row r="563" spans="13:38" ht="12.95" customHeight="1" x14ac:dyDescent="0.2">
      <c r="M563" s="532"/>
      <c r="N563" s="532"/>
      <c r="O563" s="532"/>
      <c r="P563" s="532"/>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row>
    <row r="564" spans="13:38" ht="12.95" customHeight="1" x14ac:dyDescent="0.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row>
    <row r="565" spans="13:38" ht="12.95" customHeight="1" x14ac:dyDescent="0.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row>
    <row r="566" spans="13:38" ht="12.95" customHeight="1" x14ac:dyDescent="0.2">
      <c r="M566" s="532"/>
      <c r="N566" s="532"/>
      <c r="O566" s="532"/>
      <c r="P566" s="532"/>
      <c r="Q566" s="532"/>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row>
    <row r="567" spans="13:38" ht="12.95" customHeight="1" x14ac:dyDescent="0.2">
      <c r="M567" s="532"/>
      <c r="N567" s="532"/>
      <c r="O567" s="532"/>
      <c r="P567" s="532"/>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row>
    <row r="568" spans="13:38" ht="12.95" customHeight="1" x14ac:dyDescent="0.2">
      <c r="M568" s="532"/>
      <c r="N568" s="532"/>
      <c r="O568" s="532"/>
      <c r="P568" s="532"/>
      <c r="Q568" s="532"/>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row>
    <row r="569" spans="13:38" ht="12.95" customHeight="1" x14ac:dyDescent="0.2">
      <c r="M569" s="532"/>
      <c r="N569" s="532"/>
      <c r="O569" s="532"/>
      <c r="P569" s="532"/>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row>
    <row r="570" spans="13:38" ht="12.95" customHeight="1" x14ac:dyDescent="0.2">
      <c r="M570" s="532"/>
      <c r="N570" s="532"/>
      <c r="O570" s="532"/>
      <c r="P570" s="532"/>
      <c r="Q570" s="532"/>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row>
    <row r="571" spans="13:38" ht="12.95" customHeight="1" x14ac:dyDescent="0.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row>
    <row r="572" spans="13:38" ht="12.95" customHeight="1" x14ac:dyDescent="0.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row>
    <row r="573" spans="13:38" ht="12.95" customHeight="1" x14ac:dyDescent="0.2">
      <c r="M573" s="532"/>
      <c r="N573" s="532"/>
      <c r="O573" s="532"/>
      <c r="P573" s="532"/>
      <c r="Q573" s="532"/>
      <c r="R573" s="532"/>
      <c r="S573" s="532"/>
      <c r="T573" s="532"/>
      <c r="U573" s="532"/>
      <c r="V573" s="532"/>
      <c r="W573" s="532"/>
      <c r="X573" s="532"/>
      <c r="Y573" s="532"/>
      <c r="Z573" s="532"/>
      <c r="AA573" s="532"/>
      <c r="AB573" s="532"/>
      <c r="AC573" s="532"/>
      <c r="AD573" s="532"/>
      <c r="AE573" s="532"/>
      <c r="AF573" s="532"/>
      <c r="AG573" s="532"/>
      <c r="AH573" s="532"/>
      <c r="AI573" s="532"/>
      <c r="AJ573" s="532"/>
      <c r="AK573" s="532"/>
      <c r="AL573" s="532"/>
    </row>
    <row r="574" spans="13:38" ht="12.95" customHeight="1" x14ac:dyDescent="0.2">
      <c r="M574" s="532"/>
      <c r="N574" s="532"/>
      <c r="O574" s="532"/>
      <c r="P574" s="532"/>
      <c r="Q574" s="532"/>
      <c r="R574" s="532"/>
      <c r="S574" s="532"/>
      <c r="T574" s="532"/>
      <c r="U574" s="532"/>
      <c r="V574" s="532"/>
      <c r="W574" s="532"/>
      <c r="X574" s="532"/>
      <c r="Y574" s="532"/>
      <c r="Z574" s="532"/>
      <c r="AA574" s="532"/>
      <c r="AB574" s="532"/>
      <c r="AC574" s="532"/>
      <c r="AD574" s="532"/>
      <c r="AE574" s="532"/>
      <c r="AF574" s="532"/>
      <c r="AG574" s="532"/>
      <c r="AH574" s="532"/>
      <c r="AI574" s="532"/>
      <c r="AJ574" s="532"/>
      <c r="AK574" s="532"/>
      <c r="AL574" s="532"/>
    </row>
    <row r="575" spans="13:38" ht="12.95" customHeight="1" x14ac:dyDescent="0.2">
      <c r="M575" s="532"/>
      <c r="N575" s="532"/>
      <c r="O575" s="532"/>
      <c r="P575" s="532"/>
      <c r="Q575" s="532"/>
      <c r="R575" s="532"/>
      <c r="S575" s="532"/>
      <c r="T575" s="532"/>
      <c r="U575" s="532"/>
      <c r="V575" s="532"/>
      <c r="W575" s="532"/>
      <c r="X575" s="532"/>
      <c r="Y575" s="532"/>
      <c r="Z575" s="532"/>
      <c r="AA575" s="532"/>
      <c r="AB575" s="532"/>
      <c r="AC575" s="532"/>
      <c r="AD575" s="532"/>
      <c r="AE575" s="532"/>
      <c r="AF575" s="532"/>
      <c r="AG575" s="532"/>
      <c r="AH575" s="532"/>
      <c r="AI575" s="532"/>
      <c r="AJ575" s="532"/>
      <c r="AK575" s="532"/>
      <c r="AL575" s="532"/>
    </row>
    <row r="576" spans="13:38" ht="12.95" customHeight="1" x14ac:dyDescent="0.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row>
    <row r="577" spans="13:38" ht="12.95" customHeight="1" x14ac:dyDescent="0.2">
      <c r="M577" s="532"/>
      <c r="N577" s="532"/>
      <c r="O577" s="532"/>
      <c r="P577" s="532"/>
      <c r="Q577" s="532"/>
      <c r="R577" s="532"/>
      <c r="S577" s="532"/>
      <c r="T577" s="532"/>
      <c r="U577" s="532"/>
      <c r="V577" s="532"/>
      <c r="W577" s="532"/>
      <c r="X577" s="532"/>
      <c r="Y577" s="532"/>
      <c r="Z577" s="532"/>
      <c r="AA577" s="532"/>
      <c r="AB577" s="532"/>
      <c r="AC577" s="532"/>
      <c r="AD577" s="532"/>
      <c r="AE577" s="532"/>
      <c r="AF577" s="532"/>
      <c r="AG577" s="532"/>
      <c r="AH577" s="532"/>
      <c r="AI577" s="532"/>
      <c r="AJ577" s="532"/>
      <c r="AK577" s="532"/>
      <c r="AL577" s="532"/>
    </row>
    <row r="578" spans="13:38" ht="12.95" customHeight="1" x14ac:dyDescent="0.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row>
    <row r="579" spans="13:38" ht="12.95" customHeight="1" x14ac:dyDescent="0.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row>
    <row r="580" spans="13:38" ht="12.95" customHeight="1" x14ac:dyDescent="0.2">
      <c r="M580" s="532"/>
      <c r="N580" s="532"/>
      <c r="O580" s="532"/>
      <c r="P580" s="532"/>
      <c r="Q580" s="532"/>
      <c r="R580" s="532"/>
      <c r="S580" s="532"/>
      <c r="T580" s="532"/>
      <c r="U580" s="532"/>
      <c r="V580" s="532"/>
      <c r="W580" s="532"/>
      <c r="X580" s="532"/>
      <c r="Y580" s="532"/>
      <c r="Z580" s="532"/>
      <c r="AA580" s="532"/>
      <c r="AB580" s="532"/>
      <c r="AC580" s="532"/>
      <c r="AD580" s="532"/>
      <c r="AE580" s="532"/>
      <c r="AF580" s="532"/>
      <c r="AG580" s="532"/>
      <c r="AH580" s="532"/>
      <c r="AI580" s="532"/>
      <c r="AJ580" s="532"/>
      <c r="AK580" s="532"/>
      <c r="AL580" s="532"/>
    </row>
    <row r="581" spans="13:38" ht="12.95" customHeight="1" x14ac:dyDescent="0.2">
      <c r="M581" s="532"/>
      <c r="N581" s="532"/>
      <c r="O581" s="532"/>
      <c r="P581" s="532"/>
      <c r="Q581" s="532"/>
      <c r="R581" s="532"/>
      <c r="S581" s="532"/>
      <c r="T581" s="532"/>
      <c r="U581" s="532"/>
      <c r="V581" s="532"/>
      <c r="W581" s="532"/>
      <c r="X581" s="532"/>
      <c r="Y581" s="532"/>
      <c r="Z581" s="532"/>
      <c r="AA581" s="532"/>
      <c r="AB581" s="532"/>
      <c r="AC581" s="532"/>
      <c r="AD581" s="532"/>
      <c r="AE581" s="532"/>
      <c r="AF581" s="532"/>
      <c r="AG581" s="532"/>
      <c r="AH581" s="532"/>
      <c r="AI581" s="532"/>
      <c r="AJ581" s="532"/>
      <c r="AK581" s="532"/>
      <c r="AL581" s="532"/>
    </row>
    <row r="582" spans="13:38" ht="12.95" customHeight="1" x14ac:dyDescent="0.2">
      <c r="M582" s="532"/>
      <c r="N582" s="532"/>
      <c r="O582" s="532"/>
      <c r="P582" s="532"/>
      <c r="Q582" s="532"/>
      <c r="R582" s="532"/>
      <c r="S582" s="532"/>
      <c r="T582" s="532"/>
      <c r="U582" s="532"/>
      <c r="V582" s="532"/>
      <c r="W582" s="532"/>
      <c r="X582" s="532"/>
      <c r="Y582" s="532"/>
      <c r="Z582" s="532"/>
      <c r="AA582" s="532"/>
      <c r="AB582" s="532"/>
      <c r="AC582" s="532"/>
      <c r="AD582" s="532"/>
      <c r="AE582" s="532"/>
      <c r="AF582" s="532"/>
      <c r="AG582" s="532"/>
      <c r="AH582" s="532"/>
      <c r="AI582" s="532"/>
      <c r="AJ582" s="532"/>
      <c r="AK582" s="532"/>
      <c r="AL582" s="532"/>
    </row>
    <row r="583" spans="13:38" ht="12.95" customHeight="1" x14ac:dyDescent="0.2">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row>
    <row r="584" spans="13:38" ht="12.95" customHeight="1" x14ac:dyDescent="0.2">
      <c r="M584" s="532"/>
      <c r="N584" s="532"/>
      <c r="O584" s="532"/>
      <c r="P584" s="532"/>
      <c r="Q584" s="532"/>
      <c r="R584" s="532"/>
      <c r="S584" s="532"/>
      <c r="T584" s="532"/>
      <c r="U584" s="532"/>
      <c r="V584" s="532"/>
      <c r="W584" s="532"/>
      <c r="X584" s="532"/>
      <c r="Y584" s="532"/>
      <c r="Z584" s="532"/>
      <c r="AA584" s="532"/>
      <c r="AB584" s="532"/>
      <c r="AC584" s="532"/>
      <c r="AD584" s="532"/>
      <c r="AE584" s="532"/>
      <c r="AF584" s="532"/>
      <c r="AG584" s="532"/>
      <c r="AH584" s="532"/>
      <c r="AI584" s="532"/>
      <c r="AJ584" s="532"/>
      <c r="AK584" s="532"/>
      <c r="AL584" s="532"/>
    </row>
    <row r="585" spans="13:38" ht="12.95" customHeight="1" x14ac:dyDescent="0.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row>
    <row r="586" spans="13:38" ht="12.95" customHeight="1" x14ac:dyDescent="0.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row>
    <row r="587" spans="13:38" ht="12.95" customHeight="1" x14ac:dyDescent="0.2">
      <c r="M587" s="532"/>
      <c r="N587" s="532"/>
      <c r="O587" s="532"/>
      <c r="P587" s="532"/>
      <c r="Q587" s="532"/>
      <c r="R587" s="532"/>
      <c r="S587" s="532"/>
      <c r="T587" s="532"/>
      <c r="U587" s="532"/>
      <c r="V587" s="532"/>
      <c r="W587" s="532"/>
      <c r="X587" s="532"/>
      <c r="Y587" s="532"/>
      <c r="Z587" s="532"/>
      <c r="AA587" s="532"/>
      <c r="AB587" s="532"/>
      <c r="AC587" s="532"/>
      <c r="AD587" s="532"/>
      <c r="AE587" s="532"/>
      <c r="AF587" s="532"/>
      <c r="AG587" s="532"/>
      <c r="AH587" s="532"/>
      <c r="AI587" s="532"/>
      <c r="AJ587" s="532"/>
      <c r="AK587" s="532"/>
      <c r="AL587" s="532"/>
    </row>
    <row r="588" spans="13:38" ht="12.95" customHeight="1" x14ac:dyDescent="0.2">
      <c r="M588" s="532"/>
      <c r="N588" s="532"/>
      <c r="O588" s="532"/>
      <c r="P588" s="532"/>
      <c r="Q588" s="532"/>
      <c r="R588" s="532"/>
      <c r="S588" s="532"/>
      <c r="T588" s="532"/>
      <c r="U588" s="532"/>
      <c r="V588" s="532"/>
      <c r="W588" s="532"/>
      <c r="X588" s="532"/>
      <c r="Y588" s="532"/>
      <c r="Z588" s="532"/>
      <c r="AA588" s="532"/>
      <c r="AB588" s="532"/>
      <c r="AC588" s="532"/>
      <c r="AD588" s="532"/>
      <c r="AE588" s="532"/>
      <c r="AF588" s="532"/>
      <c r="AG588" s="532"/>
      <c r="AH588" s="532"/>
      <c r="AI588" s="532"/>
      <c r="AJ588" s="532"/>
      <c r="AK588" s="532"/>
      <c r="AL588" s="532"/>
    </row>
    <row r="589" spans="13:38" ht="12.95" customHeight="1" x14ac:dyDescent="0.2">
      <c r="M589" s="532"/>
      <c r="N589" s="532"/>
      <c r="O589" s="532"/>
      <c r="P589" s="532"/>
      <c r="Q589" s="532"/>
      <c r="R589" s="532"/>
      <c r="S589" s="532"/>
      <c r="T589" s="532"/>
      <c r="U589" s="532"/>
      <c r="V589" s="532"/>
      <c r="W589" s="532"/>
      <c r="X589" s="532"/>
      <c r="Y589" s="532"/>
      <c r="Z589" s="532"/>
      <c r="AA589" s="532"/>
      <c r="AB589" s="532"/>
      <c r="AC589" s="532"/>
      <c r="AD589" s="532"/>
      <c r="AE589" s="532"/>
      <c r="AF589" s="532"/>
      <c r="AG589" s="532"/>
      <c r="AH589" s="532"/>
      <c r="AI589" s="532"/>
      <c r="AJ589" s="532"/>
      <c r="AK589" s="532"/>
      <c r="AL589" s="532"/>
    </row>
    <row r="590" spans="13:38" ht="12.95" customHeight="1" x14ac:dyDescent="0.2">
      <c r="M590" s="532"/>
      <c r="N590" s="532"/>
      <c r="O590" s="532"/>
      <c r="P590" s="532"/>
      <c r="Q590" s="532"/>
      <c r="R590" s="532"/>
      <c r="S590" s="532"/>
      <c r="T590" s="532"/>
      <c r="U590" s="532"/>
      <c r="V590" s="532"/>
      <c r="W590" s="532"/>
      <c r="X590" s="532"/>
      <c r="Y590" s="532"/>
      <c r="Z590" s="532"/>
      <c r="AA590" s="532"/>
      <c r="AB590" s="532"/>
      <c r="AC590" s="532"/>
      <c r="AD590" s="532"/>
      <c r="AE590" s="532"/>
      <c r="AF590" s="532"/>
      <c r="AG590" s="532"/>
      <c r="AH590" s="532"/>
      <c r="AI590" s="532"/>
      <c r="AJ590" s="532"/>
      <c r="AK590" s="532"/>
      <c r="AL590" s="532"/>
    </row>
    <row r="591" spans="13:38" ht="12.95" customHeight="1" x14ac:dyDescent="0.2">
      <c r="M591" s="532"/>
      <c r="N591" s="532"/>
      <c r="O591" s="532"/>
      <c r="P591" s="532"/>
      <c r="Q591" s="532"/>
      <c r="R591" s="532"/>
      <c r="S591" s="532"/>
      <c r="T591" s="532"/>
      <c r="U591" s="532"/>
      <c r="V591" s="532"/>
      <c r="W591" s="532"/>
      <c r="X591" s="532"/>
      <c r="Y591" s="532"/>
      <c r="Z591" s="532"/>
      <c r="AA591" s="532"/>
      <c r="AB591" s="532"/>
      <c r="AC591" s="532"/>
      <c r="AD591" s="532"/>
      <c r="AE591" s="532"/>
      <c r="AF591" s="532"/>
      <c r="AG591" s="532"/>
      <c r="AH591" s="532"/>
      <c r="AI591" s="532"/>
      <c r="AJ591" s="532"/>
      <c r="AK591" s="532"/>
      <c r="AL591" s="532"/>
    </row>
    <row r="592" spans="13:38" ht="12.95" customHeight="1" x14ac:dyDescent="0.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row>
    <row r="593" spans="13:38" ht="12.95" customHeight="1" x14ac:dyDescent="0.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row>
    <row r="594" spans="13:38" ht="12.95" customHeight="1" x14ac:dyDescent="0.2">
      <c r="M594" s="532"/>
      <c r="N594" s="532"/>
      <c r="O594" s="532"/>
      <c r="P594" s="532"/>
      <c r="Q594" s="532"/>
      <c r="R594" s="532"/>
      <c r="S594" s="532"/>
      <c r="T594" s="532"/>
      <c r="U594" s="532"/>
      <c r="V594" s="532"/>
      <c r="W594" s="532"/>
      <c r="X594" s="532"/>
      <c r="Y594" s="532"/>
      <c r="Z594" s="532"/>
      <c r="AA594" s="532"/>
      <c r="AB594" s="532"/>
      <c r="AC594" s="532"/>
      <c r="AD594" s="532"/>
      <c r="AE594" s="532"/>
      <c r="AF594" s="532"/>
      <c r="AG594" s="532"/>
      <c r="AH594" s="532"/>
      <c r="AI594" s="532"/>
      <c r="AJ594" s="532"/>
      <c r="AK594" s="532"/>
      <c r="AL594" s="532"/>
    </row>
    <row r="595" spans="13:38" ht="12.95" customHeight="1" x14ac:dyDescent="0.2">
      <c r="M595" s="532"/>
      <c r="N595" s="532"/>
      <c r="O595" s="532"/>
      <c r="P595" s="532"/>
      <c r="Q595" s="532"/>
      <c r="R595" s="532"/>
      <c r="S595" s="532"/>
      <c r="T595" s="532"/>
      <c r="U595" s="532"/>
      <c r="V595" s="532"/>
      <c r="W595" s="532"/>
      <c r="X595" s="532"/>
      <c r="Y595" s="532"/>
      <c r="Z595" s="532"/>
      <c r="AA595" s="532"/>
      <c r="AB595" s="532"/>
      <c r="AC595" s="532"/>
      <c r="AD595" s="532"/>
      <c r="AE595" s="532"/>
      <c r="AF595" s="532"/>
      <c r="AG595" s="532"/>
      <c r="AH595" s="532"/>
      <c r="AI595" s="532"/>
      <c r="AJ595" s="532"/>
      <c r="AK595" s="532"/>
      <c r="AL595" s="532"/>
    </row>
    <row r="596" spans="13:38" ht="12.95" customHeight="1" x14ac:dyDescent="0.2">
      <c r="M596" s="532"/>
      <c r="N596" s="532"/>
      <c r="O596" s="532"/>
      <c r="P596" s="532"/>
      <c r="Q596" s="532"/>
      <c r="R596" s="532"/>
      <c r="S596" s="532"/>
      <c r="T596" s="532"/>
      <c r="U596" s="532"/>
      <c r="V596" s="532"/>
      <c r="W596" s="532"/>
      <c r="X596" s="532"/>
      <c r="Y596" s="532"/>
      <c r="Z596" s="532"/>
      <c r="AA596" s="532"/>
      <c r="AB596" s="532"/>
      <c r="AC596" s="532"/>
      <c r="AD596" s="532"/>
      <c r="AE596" s="532"/>
      <c r="AF596" s="532"/>
      <c r="AG596" s="532"/>
      <c r="AH596" s="532"/>
      <c r="AI596" s="532"/>
      <c r="AJ596" s="532"/>
      <c r="AK596" s="532"/>
      <c r="AL596" s="532"/>
    </row>
    <row r="597" spans="13:38" ht="12.95" customHeight="1" x14ac:dyDescent="0.2">
      <c r="M597" s="532"/>
      <c r="N597" s="532"/>
      <c r="O597" s="532"/>
      <c r="P597" s="532"/>
      <c r="Q597" s="532"/>
      <c r="R597" s="532"/>
      <c r="S597" s="532"/>
      <c r="T597" s="532"/>
      <c r="U597" s="532"/>
      <c r="V597" s="532"/>
      <c r="W597" s="532"/>
      <c r="X597" s="532"/>
      <c r="Y597" s="532"/>
      <c r="Z597" s="532"/>
      <c r="AA597" s="532"/>
      <c r="AB597" s="532"/>
      <c r="AC597" s="532"/>
      <c r="AD597" s="532"/>
      <c r="AE597" s="532"/>
      <c r="AF597" s="532"/>
      <c r="AG597" s="532"/>
      <c r="AH597" s="532"/>
      <c r="AI597" s="532"/>
      <c r="AJ597" s="532"/>
      <c r="AK597" s="532"/>
      <c r="AL597" s="532"/>
    </row>
    <row r="598" spans="13:38" ht="12.95" customHeight="1" x14ac:dyDescent="0.2">
      <c r="M598" s="532"/>
      <c r="N598" s="532"/>
      <c r="O598" s="532"/>
      <c r="P598" s="532"/>
      <c r="Q598" s="532"/>
      <c r="R598" s="532"/>
      <c r="S598" s="532"/>
      <c r="T598" s="532"/>
      <c r="U598" s="532"/>
      <c r="V598" s="532"/>
      <c r="W598" s="532"/>
      <c r="X598" s="532"/>
      <c r="Y598" s="532"/>
      <c r="Z598" s="532"/>
      <c r="AA598" s="532"/>
      <c r="AB598" s="532"/>
      <c r="AC598" s="532"/>
      <c r="AD598" s="532"/>
      <c r="AE598" s="532"/>
      <c r="AF598" s="532"/>
      <c r="AG598" s="532"/>
      <c r="AH598" s="532"/>
      <c r="AI598" s="532"/>
      <c r="AJ598" s="532"/>
      <c r="AK598" s="532"/>
      <c r="AL598" s="532"/>
    </row>
    <row r="599" spans="13:38" ht="12.95" customHeight="1" x14ac:dyDescent="0.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row>
    <row r="600" spans="13:38" ht="12.95" customHeight="1" x14ac:dyDescent="0.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row>
    <row r="601" spans="13:38" ht="12.95" customHeight="1" x14ac:dyDescent="0.2">
      <c r="M601" s="532"/>
      <c r="N601" s="532"/>
      <c r="O601" s="532"/>
      <c r="P601" s="532"/>
      <c r="Q601" s="532"/>
      <c r="R601" s="532"/>
      <c r="S601" s="532"/>
      <c r="T601" s="532"/>
      <c r="U601" s="532"/>
      <c r="V601" s="532"/>
      <c r="W601" s="532"/>
      <c r="X601" s="532"/>
      <c r="Y601" s="532"/>
      <c r="Z601" s="532"/>
      <c r="AA601" s="532"/>
      <c r="AB601" s="532"/>
      <c r="AC601" s="532"/>
      <c r="AD601" s="532"/>
      <c r="AE601" s="532"/>
      <c r="AF601" s="532"/>
      <c r="AG601" s="532"/>
      <c r="AH601" s="532"/>
      <c r="AI601" s="532"/>
      <c r="AJ601" s="532"/>
      <c r="AK601" s="532"/>
      <c r="AL601" s="532"/>
    </row>
    <row r="602" spans="13:38" ht="12.95" customHeight="1" x14ac:dyDescent="0.2">
      <c r="M602" s="532"/>
      <c r="N602" s="532"/>
      <c r="O602" s="532"/>
      <c r="P602" s="532"/>
      <c r="Q602" s="532"/>
      <c r="R602" s="532"/>
      <c r="S602" s="532"/>
      <c r="T602" s="532"/>
      <c r="U602" s="532"/>
      <c r="V602" s="532"/>
      <c r="W602" s="532"/>
      <c r="X602" s="532"/>
      <c r="Y602" s="532"/>
      <c r="Z602" s="532"/>
      <c r="AA602" s="532"/>
      <c r="AB602" s="532"/>
      <c r="AC602" s="532"/>
      <c r="AD602" s="532"/>
      <c r="AE602" s="532"/>
      <c r="AF602" s="532"/>
      <c r="AG602" s="532"/>
      <c r="AH602" s="532"/>
      <c r="AI602" s="532"/>
      <c r="AJ602" s="532"/>
      <c r="AK602" s="532"/>
      <c r="AL602" s="532"/>
    </row>
    <row r="603" spans="13:38" ht="12.95" customHeight="1" x14ac:dyDescent="0.2">
      <c r="M603" s="532"/>
      <c r="N603" s="532"/>
      <c r="O603" s="532"/>
      <c r="P603" s="532"/>
      <c r="Q603" s="532"/>
      <c r="R603" s="532"/>
      <c r="S603" s="532"/>
      <c r="T603" s="532"/>
      <c r="U603" s="532"/>
      <c r="V603" s="532"/>
      <c r="W603" s="532"/>
      <c r="X603" s="532"/>
      <c r="Y603" s="532"/>
      <c r="Z603" s="532"/>
      <c r="AA603" s="532"/>
      <c r="AB603" s="532"/>
      <c r="AC603" s="532"/>
      <c r="AD603" s="532"/>
      <c r="AE603" s="532"/>
      <c r="AF603" s="532"/>
      <c r="AG603" s="532"/>
      <c r="AH603" s="532"/>
      <c r="AI603" s="532"/>
      <c r="AJ603" s="532"/>
      <c r="AK603" s="532"/>
      <c r="AL603" s="532"/>
    </row>
    <row r="604" spans="13:38" ht="12.95" customHeight="1" x14ac:dyDescent="0.2">
      <c r="M604" s="532"/>
      <c r="N604" s="532"/>
      <c r="O604" s="532"/>
      <c r="P604" s="532"/>
      <c r="Q604" s="532"/>
      <c r="R604" s="532"/>
      <c r="S604" s="532"/>
      <c r="T604" s="532"/>
      <c r="U604" s="532"/>
      <c r="V604" s="532"/>
      <c r="W604" s="532"/>
      <c r="X604" s="532"/>
      <c r="Y604" s="532"/>
      <c r="Z604" s="532"/>
      <c r="AA604" s="532"/>
      <c r="AB604" s="532"/>
      <c r="AC604" s="532"/>
      <c r="AD604" s="532"/>
      <c r="AE604" s="532"/>
      <c r="AF604" s="532"/>
      <c r="AG604" s="532"/>
      <c r="AH604" s="532"/>
      <c r="AI604" s="532"/>
      <c r="AJ604" s="532"/>
      <c r="AK604" s="532"/>
      <c r="AL604" s="532"/>
    </row>
    <row r="605" spans="13:38" ht="12.95" customHeight="1" x14ac:dyDescent="0.2">
      <c r="M605" s="532"/>
      <c r="N605" s="532"/>
      <c r="O605" s="532"/>
      <c r="P605" s="532"/>
      <c r="Q605" s="532"/>
      <c r="R605" s="532"/>
      <c r="S605" s="532"/>
      <c r="T605" s="532"/>
      <c r="U605" s="532"/>
      <c r="V605" s="532"/>
      <c r="W605" s="532"/>
      <c r="X605" s="532"/>
      <c r="Y605" s="532"/>
      <c r="Z605" s="532"/>
      <c r="AA605" s="532"/>
      <c r="AB605" s="532"/>
      <c r="AC605" s="532"/>
      <c r="AD605" s="532"/>
      <c r="AE605" s="532"/>
      <c r="AF605" s="532"/>
      <c r="AG605" s="532"/>
      <c r="AH605" s="532"/>
      <c r="AI605" s="532"/>
      <c r="AJ605" s="532"/>
      <c r="AK605" s="532"/>
      <c r="AL605" s="532"/>
    </row>
    <row r="606" spans="13:38" ht="12.95" customHeight="1" x14ac:dyDescent="0.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row>
    <row r="607" spans="13:38" ht="12.95" customHeight="1" x14ac:dyDescent="0.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row>
    <row r="608" spans="13:38" ht="12.95" customHeight="1" x14ac:dyDescent="0.2">
      <c r="M608" s="532"/>
      <c r="N608" s="532"/>
      <c r="O608" s="532"/>
      <c r="P608" s="532"/>
      <c r="Q608" s="532"/>
      <c r="R608" s="532"/>
      <c r="S608" s="532"/>
      <c r="T608" s="532"/>
      <c r="U608" s="532"/>
      <c r="V608" s="532"/>
      <c r="W608" s="532"/>
      <c r="X608" s="532"/>
      <c r="Y608" s="532"/>
      <c r="Z608" s="532"/>
      <c r="AA608" s="532"/>
      <c r="AB608" s="532"/>
      <c r="AC608" s="532"/>
      <c r="AD608" s="532"/>
      <c r="AE608" s="532"/>
      <c r="AF608" s="532"/>
      <c r="AG608" s="532"/>
      <c r="AH608" s="532"/>
      <c r="AI608" s="532"/>
      <c r="AJ608" s="532"/>
      <c r="AK608" s="532"/>
      <c r="AL608" s="532"/>
    </row>
    <row r="609" spans="13:38" ht="12.95" customHeight="1" x14ac:dyDescent="0.2">
      <c r="M609" s="532"/>
      <c r="N609" s="532"/>
      <c r="O609" s="532"/>
      <c r="P609" s="532"/>
      <c r="Q609" s="532"/>
      <c r="R609" s="532"/>
      <c r="S609" s="532"/>
      <c r="T609" s="532"/>
      <c r="U609" s="532"/>
      <c r="V609" s="532"/>
      <c r="W609" s="532"/>
      <c r="X609" s="532"/>
      <c r="Y609" s="532"/>
      <c r="Z609" s="532"/>
      <c r="AA609" s="532"/>
      <c r="AB609" s="532"/>
      <c r="AC609" s="532"/>
      <c r="AD609" s="532"/>
      <c r="AE609" s="532"/>
      <c r="AF609" s="532"/>
      <c r="AG609" s="532"/>
      <c r="AH609" s="532"/>
      <c r="AI609" s="532"/>
      <c r="AJ609" s="532"/>
      <c r="AK609" s="532"/>
      <c r="AL609" s="532"/>
    </row>
    <row r="610" spans="13:38" ht="12.95" customHeight="1" x14ac:dyDescent="0.2">
      <c r="M610" s="532"/>
      <c r="N610" s="532"/>
      <c r="O610" s="532"/>
      <c r="P610" s="532"/>
      <c r="Q610" s="532"/>
      <c r="R610" s="532"/>
      <c r="S610" s="532"/>
      <c r="T610" s="532"/>
      <c r="U610" s="532"/>
      <c r="V610" s="532"/>
      <c r="W610" s="532"/>
      <c r="X610" s="532"/>
      <c r="Y610" s="532"/>
      <c r="Z610" s="532"/>
      <c r="AA610" s="532"/>
      <c r="AB610" s="532"/>
      <c r="AC610" s="532"/>
      <c r="AD610" s="532"/>
      <c r="AE610" s="532"/>
      <c r="AF610" s="532"/>
      <c r="AG610" s="532"/>
      <c r="AH610" s="532"/>
      <c r="AI610" s="532"/>
      <c r="AJ610" s="532"/>
      <c r="AK610" s="532"/>
      <c r="AL610" s="532"/>
    </row>
    <row r="611" spans="13:38" ht="12.95" customHeight="1" x14ac:dyDescent="0.2">
      <c r="M611" s="532"/>
      <c r="N611" s="532"/>
      <c r="O611" s="532"/>
      <c r="P611" s="532"/>
      <c r="Q611" s="532"/>
      <c r="R611" s="532"/>
      <c r="S611" s="532"/>
      <c r="T611" s="532"/>
      <c r="U611" s="532"/>
      <c r="V611" s="532"/>
      <c r="W611" s="532"/>
      <c r="X611" s="532"/>
      <c r="Y611" s="532"/>
      <c r="Z611" s="532"/>
      <c r="AA611" s="532"/>
      <c r="AB611" s="532"/>
      <c r="AC611" s="532"/>
      <c r="AD611" s="532"/>
      <c r="AE611" s="532"/>
      <c r="AF611" s="532"/>
      <c r="AG611" s="532"/>
      <c r="AH611" s="532"/>
      <c r="AI611" s="532"/>
      <c r="AJ611" s="532"/>
      <c r="AK611" s="532"/>
      <c r="AL611" s="532"/>
    </row>
    <row r="612" spans="13:38" ht="12.95" customHeight="1" x14ac:dyDescent="0.2">
      <c r="M612" s="532"/>
      <c r="N612" s="532"/>
      <c r="O612" s="532"/>
      <c r="P612" s="532"/>
      <c r="Q612" s="532"/>
      <c r="R612" s="532"/>
      <c r="S612" s="532"/>
      <c r="T612" s="532"/>
      <c r="U612" s="532"/>
      <c r="V612" s="532"/>
      <c r="W612" s="532"/>
      <c r="X612" s="532"/>
      <c r="Y612" s="532"/>
      <c r="Z612" s="532"/>
      <c r="AA612" s="532"/>
      <c r="AB612" s="532"/>
      <c r="AC612" s="532"/>
      <c r="AD612" s="532"/>
      <c r="AE612" s="532"/>
      <c r="AF612" s="532"/>
      <c r="AG612" s="532"/>
      <c r="AH612" s="532"/>
      <c r="AI612" s="532"/>
      <c r="AJ612" s="532"/>
      <c r="AK612" s="532"/>
      <c r="AL612" s="532"/>
    </row>
    <row r="613" spans="13:38" ht="12.95" customHeight="1" x14ac:dyDescent="0.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row>
    <row r="614" spans="13:38" ht="12.95" customHeight="1" x14ac:dyDescent="0.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row>
    <row r="615" spans="13:38" ht="12.95" customHeight="1" x14ac:dyDescent="0.2">
      <c r="M615" s="532"/>
      <c r="N615" s="532"/>
      <c r="O615" s="532"/>
      <c r="P615" s="532"/>
      <c r="Q615" s="532"/>
      <c r="R615" s="532"/>
      <c r="S615" s="532"/>
      <c r="T615" s="532"/>
      <c r="U615" s="532"/>
      <c r="V615" s="532"/>
      <c r="W615" s="532"/>
      <c r="X615" s="532"/>
      <c r="Y615" s="532"/>
      <c r="Z615" s="532"/>
      <c r="AA615" s="532"/>
      <c r="AB615" s="532"/>
      <c r="AC615" s="532"/>
      <c r="AD615" s="532"/>
      <c r="AE615" s="532"/>
      <c r="AF615" s="532"/>
      <c r="AG615" s="532"/>
      <c r="AH615" s="532"/>
      <c r="AI615" s="532"/>
      <c r="AJ615" s="532"/>
      <c r="AK615" s="532"/>
      <c r="AL615" s="532"/>
    </row>
    <row r="616" spans="13:38" ht="12.95" customHeight="1" x14ac:dyDescent="0.2">
      <c r="M616" s="532"/>
      <c r="N616" s="532"/>
      <c r="O616" s="532"/>
      <c r="P616" s="532"/>
      <c r="Q616" s="532"/>
      <c r="R616" s="532"/>
      <c r="S616" s="532"/>
      <c r="T616" s="532"/>
      <c r="U616" s="532"/>
      <c r="V616" s="532"/>
      <c r="W616" s="532"/>
      <c r="X616" s="532"/>
      <c r="Y616" s="532"/>
      <c r="Z616" s="532"/>
      <c r="AA616" s="532"/>
      <c r="AB616" s="532"/>
      <c r="AC616" s="532"/>
      <c r="AD616" s="532"/>
      <c r="AE616" s="532"/>
      <c r="AF616" s="532"/>
      <c r="AG616" s="532"/>
      <c r="AH616" s="532"/>
      <c r="AI616" s="532"/>
      <c r="AJ616" s="532"/>
      <c r="AK616" s="532"/>
      <c r="AL616" s="532"/>
    </row>
    <row r="617" spans="13:38" ht="12.95" customHeight="1" x14ac:dyDescent="0.2">
      <c r="M617" s="532"/>
      <c r="N617" s="532"/>
      <c r="O617" s="532"/>
      <c r="P617" s="532"/>
      <c r="Q617" s="532"/>
      <c r="R617" s="532"/>
      <c r="S617" s="532"/>
      <c r="T617" s="532"/>
      <c r="U617" s="532"/>
      <c r="V617" s="532"/>
      <c r="W617" s="532"/>
      <c r="X617" s="532"/>
      <c r="Y617" s="532"/>
      <c r="Z617" s="532"/>
      <c r="AA617" s="532"/>
      <c r="AB617" s="532"/>
      <c r="AC617" s="532"/>
      <c r="AD617" s="532"/>
      <c r="AE617" s="532"/>
      <c r="AF617" s="532"/>
      <c r="AG617" s="532"/>
      <c r="AH617" s="532"/>
      <c r="AI617" s="532"/>
      <c r="AJ617" s="532"/>
      <c r="AK617" s="532"/>
      <c r="AL617" s="532"/>
    </row>
    <row r="618" spans="13:38" ht="12.95" customHeight="1" x14ac:dyDescent="0.2">
      <c r="M618" s="532"/>
      <c r="N618" s="532"/>
      <c r="O618" s="532"/>
      <c r="P618" s="532"/>
      <c r="Q618" s="532"/>
      <c r="R618" s="532"/>
      <c r="S618" s="532"/>
      <c r="T618" s="532"/>
      <c r="U618" s="532"/>
      <c r="V618" s="532"/>
      <c r="W618" s="532"/>
      <c r="X618" s="532"/>
      <c r="Y618" s="532"/>
      <c r="Z618" s="532"/>
      <c r="AA618" s="532"/>
      <c r="AB618" s="532"/>
      <c r="AC618" s="532"/>
      <c r="AD618" s="532"/>
      <c r="AE618" s="532"/>
      <c r="AF618" s="532"/>
      <c r="AG618" s="532"/>
      <c r="AH618" s="532"/>
      <c r="AI618" s="532"/>
      <c r="AJ618" s="532"/>
      <c r="AK618" s="532"/>
      <c r="AL618" s="532"/>
    </row>
    <row r="619" spans="13:38" ht="12.95" customHeight="1" x14ac:dyDescent="0.2">
      <c r="M619" s="532"/>
      <c r="N619" s="532"/>
      <c r="O619" s="532"/>
      <c r="P619" s="532"/>
      <c r="Q619" s="532"/>
      <c r="R619" s="532"/>
      <c r="S619" s="532"/>
      <c r="T619" s="532"/>
      <c r="U619" s="532"/>
      <c r="V619" s="532"/>
      <c r="W619" s="532"/>
      <c r="X619" s="532"/>
      <c r="Y619" s="532"/>
      <c r="Z619" s="532"/>
      <c r="AA619" s="532"/>
      <c r="AB619" s="532"/>
      <c r="AC619" s="532"/>
      <c r="AD619" s="532"/>
      <c r="AE619" s="532"/>
      <c r="AF619" s="532"/>
      <c r="AG619" s="532"/>
      <c r="AH619" s="532"/>
      <c r="AI619" s="532"/>
      <c r="AJ619" s="532"/>
      <c r="AK619" s="532"/>
      <c r="AL619" s="532"/>
    </row>
    <row r="620" spans="13:38" ht="12.95" customHeight="1" x14ac:dyDescent="0.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row>
    <row r="621" spans="13:38" ht="12.95" customHeight="1" x14ac:dyDescent="0.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row>
    <row r="622" spans="13:38" ht="12.95" customHeight="1" x14ac:dyDescent="0.2">
      <c r="M622" s="532"/>
      <c r="N622" s="532"/>
      <c r="O622" s="532"/>
      <c r="P622" s="532"/>
      <c r="Q622" s="532"/>
      <c r="R622" s="532"/>
      <c r="S622" s="532"/>
      <c r="T622" s="532"/>
      <c r="U622" s="532"/>
      <c r="V622" s="532"/>
      <c r="W622" s="532"/>
      <c r="X622" s="532"/>
      <c r="Y622" s="532"/>
      <c r="Z622" s="532"/>
      <c r="AA622" s="532"/>
      <c r="AB622" s="532"/>
      <c r="AC622" s="532"/>
      <c r="AD622" s="532"/>
      <c r="AE622" s="532"/>
      <c r="AF622" s="532"/>
      <c r="AG622" s="532"/>
      <c r="AH622" s="532"/>
      <c r="AI622" s="532"/>
      <c r="AJ622" s="532"/>
      <c r="AK622" s="532"/>
      <c r="AL622" s="532"/>
    </row>
    <row r="623" spans="13:38" ht="12.95" customHeight="1" x14ac:dyDescent="0.2">
      <c r="M623" s="532"/>
      <c r="N623" s="532"/>
      <c r="O623" s="532"/>
      <c r="P623" s="532"/>
      <c r="Q623" s="532"/>
      <c r="R623" s="532"/>
      <c r="S623" s="532"/>
      <c r="T623" s="532"/>
      <c r="U623" s="532"/>
      <c r="V623" s="532"/>
      <c r="W623" s="532"/>
      <c r="X623" s="532"/>
      <c r="Y623" s="532"/>
      <c r="Z623" s="532"/>
      <c r="AA623" s="532"/>
      <c r="AB623" s="532"/>
      <c r="AC623" s="532"/>
      <c r="AD623" s="532"/>
      <c r="AE623" s="532"/>
      <c r="AF623" s="532"/>
      <c r="AG623" s="532"/>
      <c r="AH623" s="532"/>
      <c r="AI623" s="532"/>
      <c r="AJ623" s="532"/>
      <c r="AK623" s="532"/>
      <c r="AL623" s="532"/>
    </row>
    <row r="624" spans="13:38" ht="12.95" customHeight="1" x14ac:dyDescent="0.2">
      <c r="M624" s="532"/>
      <c r="N624" s="532"/>
      <c r="O624" s="532"/>
      <c r="P624" s="532"/>
      <c r="Q624" s="532"/>
      <c r="R624" s="532"/>
      <c r="S624" s="532"/>
      <c r="T624" s="532"/>
      <c r="U624" s="532"/>
      <c r="V624" s="532"/>
      <c r="W624" s="532"/>
      <c r="X624" s="532"/>
      <c r="Y624" s="532"/>
      <c r="Z624" s="532"/>
      <c r="AA624" s="532"/>
      <c r="AB624" s="532"/>
      <c r="AC624" s="532"/>
      <c r="AD624" s="532"/>
      <c r="AE624" s="532"/>
      <c r="AF624" s="532"/>
      <c r="AG624" s="532"/>
      <c r="AH624" s="532"/>
      <c r="AI624" s="532"/>
      <c r="AJ624" s="532"/>
      <c r="AK624" s="532"/>
      <c r="AL624" s="532"/>
    </row>
    <row r="625" spans="13:38" ht="12.95" customHeight="1" x14ac:dyDescent="0.2">
      <c r="M625" s="532"/>
      <c r="N625" s="532"/>
      <c r="O625" s="532"/>
      <c r="P625" s="532"/>
      <c r="Q625" s="532"/>
      <c r="R625" s="532"/>
      <c r="S625" s="532"/>
      <c r="T625" s="532"/>
      <c r="U625" s="532"/>
      <c r="V625" s="532"/>
      <c r="W625" s="532"/>
      <c r="X625" s="532"/>
      <c r="Y625" s="532"/>
      <c r="Z625" s="532"/>
      <c r="AA625" s="532"/>
      <c r="AB625" s="532"/>
      <c r="AC625" s="532"/>
      <c r="AD625" s="532"/>
      <c r="AE625" s="532"/>
      <c r="AF625" s="532"/>
      <c r="AG625" s="532"/>
      <c r="AH625" s="532"/>
      <c r="AI625" s="532"/>
      <c r="AJ625" s="532"/>
      <c r="AK625" s="532"/>
      <c r="AL625" s="532"/>
    </row>
    <row r="626" spans="13:38" ht="12.95" customHeight="1" x14ac:dyDescent="0.2">
      <c r="M626" s="532"/>
      <c r="N626" s="532"/>
      <c r="O626" s="532"/>
      <c r="P626" s="532"/>
      <c r="Q626" s="532"/>
      <c r="R626" s="532"/>
      <c r="S626" s="532"/>
      <c r="T626" s="532"/>
      <c r="U626" s="532"/>
      <c r="V626" s="532"/>
      <c r="W626" s="532"/>
      <c r="X626" s="532"/>
      <c r="Y626" s="532"/>
      <c r="Z626" s="532"/>
      <c r="AA626" s="532"/>
      <c r="AB626" s="532"/>
      <c r="AC626" s="532"/>
      <c r="AD626" s="532"/>
      <c r="AE626" s="532"/>
      <c r="AF626" s="532"/>
      <c r="AG626" s="532"/>
      <c r="AH626" s="532"/>
      <c r="AI626" s="532"/>
      <c r="AJ626" s="532"/>
      <c r="AK626" s="532"/>
      <c r="AL626" s="532"/>
    </row>
    <row r="627" spans="13:38" ht="12.95" customHeight="1" x14ac:dyDescent="0.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row>
    <row r="628" spans="13:38" ht="12.95" customHeight="1" x14ac:dyDescent="0.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row>
    <row r="629" spans="13:38" ht="12.95" customHeight="1" x14ac:dyDescent="0.2">
      <c r="M629" s="532"/>
      <c r="N629" s="532"/>
      <c r="O629" s="532"/>
      <c r="P629" s="532"/>
      <c r="Q629" s="532"/>
      <c r="R629" s="532"/>
      <c r="S629" s="532"/>
      <c r="T629" s="532"/>
      <c r="U629" s="532"/>
      <c r="V629" s="532"/>
      <c r="W629" s="532"/>
      <c r="X629" s="532"/>
      <c r="Y629" s="532"/>
      <c r="Z629" s="532"/>
      <c r="AA629" s="532"/>
      <c r="AB629" s="532"/>
      <c r="AC629" s="532"/>
      <c r="AD629" s="532"/>
      <c r="AE629" s="532"/>
      <c r="AF629" s="532"/>
      <c r="AG629" s="532"/>
      <c r="AH629" s="532"/>
      <c r="AI629" s="532"/>
      <c r="AJ629" s="532"/>
      <c r="AK629" s="532"/>
      <c r="AL629" s="532"/>
    </row>
    <row r="630" spans="13:38" ht="12.95" customHeight="1" x14ac:dyDescent="0.2">
      <c r="M630" s="532"/>
      <c r="N630" s="532"/>
      <c r="O630" s="532"/>
      <c r="P630" s="532"/>
      <c r="Q630" s="532"/>
      <c r="R630" s="532"/>
      <c r="S630" s="532"/>
      <c r="T630" s="532"/>
      <c r="U630" s="532"/>
      <c r="V630" s="532"/>
      <c r="W630" s="532"/>
      <c r="X630" s="532"/>
      <c r="Y630" s="532"/>
      <c r="Z630" s="532"/>
      <c r="AA630" s="532"/>
      <c r="AB630" s="532"/>
      <c r="AC630" s="532"/>
      <c r="AD630" s="532"/>
      <c r="AE630" s="532"/>
      <c r="AF630" s="532"/>
      <c r="AG630" s="532"/>
      <c r="AH630" s="532"/>
      <c r="AI630" s="532"/>
      <c r="AJ630" s="532"/>
      <c r="AK630" s="532"/>
      <c r="AL630" s="532"/>
    </row>
    <row r="631" spans="13:38" ht="12.95" customHeight="1" x14ac:dyDescent="0.2">
      <c r="M631" s="532"/>
      <c r="N631" s="532"/>
      <c r="O631" s="532"/>
      <c r="P631" s="532"/>
      <c r="Q631" s="532"/>
      <c r="R631" s="532"/>
      <c r="S631" s="532"/>
      <c r="T631" s="532"/>
      <c r="U631" s="532"/>
      <c r="V631" s="532"/>
      <c r="W631" s="532"/>
      <c r="X631" s="532"/>
      <c r="Y631" s="532"/>
      <c r="Z631" s="532"/>
      <c r="AA631" s="532"/>
      <c r="AB631" s="532"/>
      <c r="AC631" s="532"/>
      <c r="AD631" s="532"/>
      <c r="AE631" s="532"/>
      <c r="AF631" s="532"/>
      <c r="AG631" s="532"/>
      <c r="AH631" s="532"/>
      <c r="AI631" s="532"/>
      <c r="AJ631" s="532"/>
      <c r="AK631" s="532"/>
      <c r="AL631" s="532"/>
    </row>
    <row r="632" spans="13:38" ht="12.95" customHeight="1" x14ac:dyDescent="0.2">
      <c r="M632" s="532"/>
      <c r="N632" s="532"/>
      <c r="O632" s="532"/>
      <c r="P632" s="532"/>
      <c r="Q632" s="532"/>
      <c r="R632" s="532"/>
      <c r="S632" s="532"/>
      <c r="T632" s="532"/>
      <c r="U632" s="532"/>
      <c r="V632" s="532"/>
      <c r="W632" s="532"/>
      <c r="X632" s="532"/>
      <c r="Y632" s="532"/>
      <c r="Z632" s="532"/>
      <c r="AA632" s="532"/>
      <c r="AB632" s="532"/>
      <c r="AC632" s="532"/>
      <c r="AD632" s="532"/>
      <c r="AE632" s="532"/>
      <c r="AF632" s="532"/>
      <c r="AG632" s="532"/>
      <c r="AH632" s="532"/>
      <c r="AI632" s="532"/>
      <c r="AJ632" s="532"/>
      <c r="AK632" s="532"/>
      <c r="AL632" s="532"/>
    </row>
    <row r="633" spans="13:38" ht="12.95" customHeight="1" x14ac:dyDescent="0.2">
      <c r="M633" s="532"/>
      <c r="N633" s="532"/>
      <c r="O633" s="532"/>
      <c r="P633" s="532"/>
      <c r="Q633" s="532"/>
      <c r="R633" s="532"/>
      <c r="S633" s="532"/>
      <c r="T633" s="532"/>
      <c r="U633" s="532"/>
      <c r="V633" s="532"/>
      <c r="W633" s="532"/>
      <c r="X633" s="532"/>
      <c r="Y633" s="532"/>
      <c r="Z633" s="532"/>
      <c r="AA633" s="532"/>
      <c r="AB633" s="532"/>
      <c r="AC633" s="532"/>
      <c r="AD633" s="532"/>
      <c r="AE633" s="532"/>
      <c r="AF633" s="532"/>
      <c r="AG633" s="532"/>
      <c r="AH633" s="532"/>
      <c r="AI633" s="532"/>
      <c r="AJ633" s="532"/>
      <c r="AK633" s="532"/>
      <c r="AL633" s="532"/>
    </row>
    <row r="634" spans="13:38" ht="12.95" customHeight="1" x14ac:dyDescent="0.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row>
    <row r="635" spans="13:38" ht="12.95" customHeight="1" x14ac:dyDescent="0.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row>
    <row r="636" spans="13:38" ht="12.95" customHeight="1" x14ac:dyDescent="0.2">
      <c r="M636" s="532"/>
      <c r="N636" s="532"/>
      <c r="O636" s="532"/>
      <c r="P636" s="532"/>
      <c r="Q636" s="532"/>
      <c r="R636" s="532"/>
      <c r="S636" s="532"/>
      <c r="T636" s="532"/>
      <c r="U636" s="532"/>
      <c r="V636" s="532"/>
      <c r="W636" s="532"/>
      <c r="X636" s="532"/>
      <c r="Y636" s="532"/>
      <c r="Z636" s="532"/>
      <c r="AA636" s="532"/>
      <c r="AB636" s="532"/>
      <c r="AC636" s="532"/>
      <c r="AD636" s="532"/>
      <c r="AE636" s="532"/>
      <c r="AF636" s="532"/>
      <c r="AG636" s="532"/>
      <c r="AH636" s="532"/>
      <c r="AI636" s="532"/>
      <c r="AJ636" s="532"/>
      <c r="AK636" s="532"/>
      <c r="AL636" s="532"/>
    </row>
    <row r="637" spans="13:38" ht="12.95" customHeight="1" x14ac:dyDescent="0.2">
      <c r="M637" s="532"/>
      <c r="N637" s="532"/>
      <c r="O637" s="532"/>
      <c r="P637" s="532"/>
      <c r="Q637" s="532"/>
      <c r="R637" s="532"/>
      <c r="S637" s="532"/>
      <c r="T637" s="532"/>
      <c r="U637" s="532"/>
      <c r="V637" s="532"/>
      <c r="W637" s="532"/>
      <c r="X637" s="532"/>
      <c r="Y637" s="532"/>
      <c r="Z637" s="532"/>
      <c r="AA637" s="532"/>
      <c r="AB637" s="532"/>
      <c r="AC637" s="532"/>
      <c r="AD637" s="532"/>
      <c r="AE637" s="532"/>
      <c r="AF637" s="532"/>
      <c r="AG637" s="532"/>
      <c r="AH637" s="532"/>
      <c r="AI637" s="532"/>
      <c r="AJ637" s="532"/>
      <c r="AK637" s="532"/>
      <c r="AL637" s="532"/>
    </row>
    <row r="638" spans="13:38" ht="12.95" customHeight="1" x14ac:dyDescent="0.2">
      <c r="M638" s="532"/>
      <c r="N638" s="532"/>
      <c r="O638" s="532"/>
      <c r="P638" s="532"/>
      <c r="Q638" s="532"/>
      <c r="R638" s="532"/>
      <c r="S638" s="532"/>
      <c r="T638" s="532"/>
      <c r="U638" s="532"/>
      <c r="V638" s="532"/>
      <c r="W638" s="532"/>
      <c r="X638" s="532"/>
      <c r="Y638" s="532"/>
      <c r="Z638" s="532"/>
      <c r="AA638" s="532"/>
      <c r="AB638" s="532"/>
      <c r="AC638" s="532"/>
      <c r="AD638" s="532"/>
      <c r="AE638" s="532"/>
      <c r="AF638" s="532"/>
      <c r="AG638" s="532"/>
      <c r="AH638" s="532"/>
      <c r="AI638" s="532"/>
      <c r="AJ638" s="532"/>
      <c r="AK638" s="532"/>
      <c r="AL638" s="532"/>
    </row>
    <row r="639" spans="13:38" ht="12.95" customHeight="1" x14ac:dyDescent="0.2">
      <c r="M639" s="532"/>
      <c r="N639" s="532"/>
      <c r="O639" s="532"/>
      <c r="P639" s="532"/>
      <c r="Q639" s="532"/>
      <c r="R639" s="532"/>
      <c r="S639" s="532"/>
      <c r="T639" s="532"/>
      <c r="U639" s="532"/>
      <c r="V639" s="532"/>
      <c r="W639" s="532"/>
      <c r="X639" s="532"/>
      <c r="Y639" s="532"/>
      <c r="Z639" s="532"/>
      <c r="AA639" s="532"/>
      <c r="AB639" s="532"/>
      <c r="AC639" s="532"/>
      <c r="AD639" s="532"/>
      <c r="AE639" s="532"/>
      <c r="AF639" s="532"/>
      <c r="AG639" s="532"/>
      <c r="AH639" s="532"/>
      <c r="AI639" s="532"/>
      <c r="AJ639" s="532"/>
      <c r="AK639" s="532"/>
      <c r="AL639" s="532"/>
    </row>
    <row r="640" spans="13:38" ht="12.95" customHeight="1" x14ac:dyDescent="0.2">
      <c r="M640" s="532"/>
      <c r="N640" s="532"/>
      <c r="O640" s="532"/>
      <c r="P640" s="532"/>
      <c r="Q640" s="532"/>
      <c r="R640" s="532"/>
      <c r="S640" s="532"/>
      <c r="T640" s="532"/>
      <c r="U640" s="532"/>
      <c r="V640" s="532"/>
      <c r="W640" s="532"/>
      <c r="X640" s="532"/>
      <c r="Y640" s="532"/>
      <c r="Z640" s="532"/>
      <c r="AA640" s="532"/>
      <c r="AB640" s="532"/>
      <c r="AC640" s="532"/>
      <c r="AD640" s="532"/>
      <c r="AE640" s="532"/>
      <c r="AF640" s="532"/>
      <c r="AG640" s="532"/>
      <c r="AH640" s="532"/>
      <c r="AI640" s="532"/>
      <c r="AJ640" s="532"/>
      <c r="AK640" s="532"/>
      <c r="AL640" s="532"/>
    </row>
    <row r="641" spans="13:38" ht="12.95" customHeight="1" x14ac:dyDescent="0.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row>
    <row r="642" spans="13:38" ht="12.95" customHeight="1" x14ac:dyDescent="0.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row>
    <row r="643" spans="13:38" ht="12.95" customHeight="1" x14ac:dyDescent="0.2">
      <c r="M643" s="532"/>
      <c r="N643" s="532"/>
      <c r="O643" s="532"/>
      <c r="P643" s="532"/>
      <c r="Q643" s="532"/>
      <c r="R643" s="532"/>
      <c r="S643" s="532"/>
      <c r="T643" s="532"/>
      <c r="U643" s="532"/>
      <c r="V643" s="532"/>
      <c r="W643" s="532"/>
      <c r="X643" s="532"/>
      <c r="Y643" s="532"/>
      <c r="Z643" s="532"/>
      <c r="AA643" s="532"/>
      <c r="AB643" s="532"/>
      <c r="AC643" s="532"/>
      <c r="AD643" s="532"/>
      <c r="AE643" s="532"/>
      <c r="AF643" s="532"/>
      <c r="AG643" s="532"/>
      <c r="AH643" s="532"/>
      <c r="AI643" s="532"/>
      <c r="AJ643" s="532"/>
      <c r="AK643" s="532"/>
      <c r="AL643" s="532"/>
    </row>
    <row r="644" spans="13:38" ht="12.95" customHeight="1" x14ac:dyDescent="0.2">
      <c r="M644" s="532"/>
      <c r="N644" s="532"/>
      <c r="O644" s="532"/>
      <c r="P644" s="532"/>
      <c r="Q644" s="532"/>
      <c r="R644" s="532"/>
      <c r="S644" s="532"/>
      <c r="T644" s="532"/>
      <c r="U644" s="532"/>
      <c r="V644" s="532"/>
      <c r="W644" s="532"/>
      <c r="X644" s="532"/>
      <c r="Y644" s="532"/>
      <c r="Z644" s="532"/>
      <c r="AA644" s="532"/>
      <c r="AB644" s="532"/>
      <c r="AC644" s="532"/>
      <c r="AD644" s="532"/>
      <c r="AE644" s="532"/>
      <c r="AF644" s="532"/>
      <c r="AG644" s="532"/>
      <c r="AH644" s="532"/>
      <c r="AI644" s="532"/>
      <c r="AJ644" s="532"/>
      <c r="AK644" s="532"/>
      <c r="AL644" s="532"/>
    </row>
    <row r="645" spans="13:38" ht="12.95" customHeight="1" x14ac:dyDescent="0.2">
      <c r="M645" s="532"/>
      <c r="N645" s="532"/>
      <c r="O645" s="532"/>
      <c r="P645" s="532"/>
      <c r="Q645" s="532"/>
      <c r="R645" s="532"/>
      <c r="S645" s="532"/>
      <c r="T645" s="532"/>
      <c r="U645" s="532"/>
      <c r="V645" s="532"/>
      <c r="W645" s="532"/>
      <c r="X645" s="532"/>
      <c r="Y645" s="532"/>
      <c r="Z645" s="532"/>
      <c r="AA645" s="532"/>
      <c r="AB645" s="532"/>
      <c r="AC645" s="532"/>
      <c r="AD645" s="532"/>
      <c r="AE645" s="532"/>
      <c r="AF645" s="532"/>
      <c r="AG645" s="532"/>
      <c r="AH645" s="532"/>
      <c r="AI645" s="532"/>
      <c r="AJ645" s="532"/>
      <c r="AK645" s="532"/>
      <c r="AL645" s="532"/>
    </row>
    <row r="646" spans="13:38" ht="12.95" customHeight="1" x14ac:dyDescent="0.2">
      <c r="M646" s="532"/>
      <c r="N646" s="532"/>
      <c r="O646" s="532"/>
      <c r="P646" s="532"/>
      <c r="Q646" s="532"/>
      <c r="R646" s="532"/>
      <c r="S646" s="532"/>
      <c r="T646" s="532"/>
      <c r="U646" s="532"/>
      <c r="V646" s="532"/>
      <c r="W646" s="532"/>
      <c r="X646" s="532"/>
      <c r="Y646" s="532"/>
      <c r="Z646" s="532"/>
      <c r="AA646" s="532"/>
      <c r="AB646" s="532"/>
      <c r="AC646" s="532"/>
      <c r="AD646" s="532"/>
      <c r="AE646" s="532"/>
      <c r="AF646" s="532"/>
      <c r="AG646" s="532"/>
      <c r="AH646" s="532"/>
      <c r="AI646" s="532"/>
      <c r="AJ646" s="532"/>
      <c r="AK646" s="532"/>
      <c r="AL646" s="532"/>
    </row>
    <row r="647" spans="13:38" ht="12.95" customHeight="1" x14ac:dyDescent="0.2">
      <c r="M647" s="532"/>
      <c r="N647" s="532"/>
      <c r="O647" s="532"/>
      <c r="P647" s="532"/>
      <c r="Q647" s="532"/>
      <c r="R647" s="532"/>
      <c r="S647" s="532"/>
      <c r="T647" s="532"/>
      <c r="U647" s="532"/>
      <c r="V647" s="532"/>
      <c r="W647" s="532"/>
      <c r="X647" s="532"/>
      <c r="Y647" s="532"/>
      <c r="Z647" s="532"/>
      <c r="AA647" s="532"/>
      <c r="AB647" s="532"/>
      <c r="AC647" s="532"/>
      <c r="AD647" s="532"/>
      <c r="AE647" s="532"/>
      <c r="AF647" s="532"/>
      <c r="AG647" s="532"/>
      <c r="AH647" s="532"/>
      <c r="AI647" s="532"/>
      <c r="AJ647" s="532"/>
      <c r="AK647" s="532"/>
      <c r="AL647" s="532"/>
    </row>
    <row r="648" spans="13:38" ht="12.95" customHeight="1" x14ac:dyDescent="0.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row>
    <row r="649" spans="13:38" ht="12.95" customHeight="1" x14ac:dyDescent="0.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row>
    <row r="650" spans="13:38" ht="12.95" customHeight="1" x14ac:dyDescent="0.2">
      <c r="M650" s="532"/>
      <c r="N650" s="532"/>
      <c r="O650" s="532"/>
      <c r="P650" s="532"/>
      <c r="Q650" s="532"/>
      <c r="R650" s="532"/>
      <c r="S650" s="532"/>
      <c r="T650" s="532"/>
      <c r="U650" s="532"/>
      <c r="V650" s="532"/>
      <c r="W650" s="532"/>
      <c r="X650" s="532"/>
      <c r="Y650" s="532"/>
      <c r="Z650" s="532"/>
      <c r="AA650" s="532"/>
      <c r="AB650" s="532"/>
      <c r="AC650" s="532"/>
      <c r="AD650" s="532"/>
      <c r="AE650" s="532"/>
      <c r="AF650" s="532"/>
      <c r="AG650" s="532"/>
      <c r="AH650" s="532"/>
      <c r="AI650" s="532"/>
      <c r="AJ650" s="532"/>
      <c r="AK650" s="532"/>
      <c r="AL650" s="532"/>
    </row>
    <row r="651" spans="13:38" ht="12.95" customHeight="1" x14ac:dyDescent="0.2">
      <c r="M651" s="532"/>
      <c r="N651" s="532"/>
      <c r="O651" s="532"/>
      <c r="P651" s="532"/>
      <c r="Q651" s="532"/>
      <c r="R651" s="532"/>
      <c r="S651" s="532"/>
      <c r="T651" s="532"/>
      <c r="U651" s="532"/>
      <c r="V651" s="532"/>
      <c r="W651" s="532"/>
      <c r="X651" s="532"/>
      <c r="Y651" s="532"/>
      <c r="Z651" s="532"/>
      <c r="AA651" s="532"/>
      <c r="AB651" s="532"/>
      <c r="AC651" s="532"/>
      <c r="AD651" s="532"/>
      <c r="AE651" s="532"/>
      <c r="AF651" s="532"/>
      <c r="AG651" s="532"/>
      <c r="AH651" s="532"/>
      <c r="AI651" s="532"/>
      <c r="AJ651" s="532"/>
      <c r="AK651" s="532"/>
      <c r="AL651" s="532"/>
    </row>
    <row r="652" spans="13:38" ht="12.95" customHeight="1" x14ac:dyDescent="0.2">
      <c r="M652" s="532"/>
      <c r="N652" s="532"/>
      <c r="O652" s="532"/>
      <c r="P652" s="532"/>
      <c r="Q652" s="532"/>
      <c r="R652" s="532"/>
      <c r="S652" s="532"/>
      <c r="T652" s="532"/>
      <c r="U652" s="532"/>
      <c r="V652" s="532"/>
      <c r="W652" s="532"/>
      <c r="X652" s="532"/>
      <c r="Y652" s="532"/>
      <c r="Z652" s="532"/>
      <c r="AA652" s="532"/>
      <c r="AB652" s="532"/>
      <c r="AC652" s="532"/>
      <c r="AD652" s="532"/>
      <c r="AE652" s="532"/>
      <c r="AF652" s="532"/>
      <c r="AG652" s="532"/>
      <c r="AH652" s="532"/>
      <c r="AI652" s="532"/>
      <c r="AJ652" s="532"/>
      <c r="AK652" s="532"/>
      <c r="AL652" s="532"/>
    </row>
    <row r="653" spans="13:38" ht="12.95" customHeight="1" x14ac:dyDescent="0.2">
      <c r="M653" s="532"/>
      <c r="N653" s="532"/>
      <c r="O653" s="532"/>
      <c r="P653" s="532"/>
      <c r="Q653" s="532"/>
      <c r="R653" s="532"/>
      <c r="S653" s="532"/>
      <c r="T653" s="532"/>
      <c r="U653" s="532"/>
      <c r="V653" s="532"/>
      <c r="W653" s="532"/>
      <c r="X653" s="532"/>
      <c r="Y653" s="532"/>
      <c r="Z653" s="532"/>
      <c r="AA653" s="532"/>
      <c r="AB653" s="532"/>
      <c r="AC653" s="532"/>
      <c r="AD653" s="532"/>
      <c r="AE653" s="532"/>
      <c r="AF653" s="532"/>
      <c r="AG653" s="532"/>
      <c r="AH653" s="532"/>
      <c r="AI653" s="532"/>
      <c r="AJ653" s="532"/>
      <c r="AK653" s="532"/>
      <c r="AL653" s="532"/>
    </row>
    <row r="654" spans="13:38" ht="12.95" customHeight="1" x14ac:dyDescent="0.2">
      <c r="M654" s="532"/>
      <c r="N654" s="532"/>
      <c r="O654" s="532"/>
      <c r="P654" s="532"/>
      <c r="Q654" s="532"/>
      <c r="R654" s="532"/>
      <c r="S654" s="532"/>
      <c r="T654" s="532"/>
      <c r="U654" s="532"/>
      <c r="V654" s="532"/>
      <c r="W654" s="532"/>
      <c r="X654" s="532"/>
      <c r="Y654" s="532"/>
      <c r="Z654" s="532"/>
      <c r="AA654" s="532"/>
      <c r="AB654" s="532"/>
      <c r="AC654" s="532"/>
      <c r="AD654" s="532"/>
      <c r="AE654" s="532"/>
      <c r="AF654" s="532"/>
      <c r="AG654" s="532"/>
      <c r="AH654" s="532"/>
      <c r="AI654" s="532"/>
      <c r="AJ654" s="532"/>
      <c r="AK654" s="532"/>
      <c r="AL654" s="532"/>
    </row>
    <row r="655" spans="13:38" ht="12.95" customHeight="1" x14ac:dyDescent="0.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row>
    <row r="656" spans="13:38" ht="12.95" customHeight="1" x14ac:dyDescent="0.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row>
    <row r="657" spans="13:38" ht="12.95" customHeight="1" x14ac:dyDescent="0.2">
      <c r="M657" s="532"/>
      <c r="N657" s="532"/>
      <c r="O657" s="532"/>
      <c r="P657" s="532"/>
      <c r="Q657" s="532"/>
      <c r="R657" s="532"/>
      <c r="S657" s="532"/>
      <c r="T657" s="532"/>
      <c r="U657" s="532"/>
      <c r="V657" s="532"/>
      <c r="W657" s="532"/>
      <c r="X657" s="532"/>
      <c r="Y657" s="532"/>
      <c r="Z657" s="532"/>
      <c r="AA657" s="532"/>
      <c r="AB657" s="532"/>
      <c r="AC657" s="532"/>
      <c r="AD657" s="532"/>
      <c r="AE657" s="532"/>
      <c r="AF657" s="532"/>
      <c r="AG657" s="532"/>
      <c r="AH657" s="532"/>
      <c r="AI657" s="532"/>
      <c r="AJ657" s="532"/>
      <c r="AK657" s="532"/>
      <c r="AL657" s="532"/>
    </row>
    <row r="658" spans="13:38" ht="12.95" customHeight="1" x14ac:dyDescent="0.2">
      <c r="M658" s="532"/>
      <c r="N658" s="532"/>
      <c r="O658" s="532"/>
      <c r="P658" s="532"/>
      <c r="Q658" s="532"/>
      <c r="R658" s="532"/>
      <c r="S658" s="532"/>
      <c r="T658" s="532"/>
      <c r="U658" s="532"/>
      <c r="V658" s="532"/>
      <c r="W658" s="532"/>
      <c r="X658" s="532"/>
      <c r="Y658" s="532"/>
      <c r="Z658" s="532"/>
      <c r="AA658" s="532"/>
      <c r="AB658" s="532"/>
      <c r="AC658" s="532"/>
      <c r="AD658" s="532"/>
      <c r="AE658" s="532"/>
      <c r="AF658" s="532"/>
      <c r="AG658" s="532"/>
      <c r="AH658" s="532"/>
      <c r="AI658" s="532"/>
      <c r="AJ658" s="532"/>
      <c r="AK658" s="532"/>
      <c r="AL658" s="532"/>
    </row>
    <row r="659" spans="13:38" ht="12.95" customHeight="1" x14ac:dyDescent="0.2">
      <c r="M659" s="532"/>
      <c r="N659" s="532"/>
      <c r="O659" s="532"/>
      <c r="P659" s="532"/>
      <c r="Q659" s="532"/>
      <c r="R659" s="532"/>
      <c r="S659" s="532"/>
      <c r="T659" s="532"/>
      <c r="U659" s="532"/>
      <c r="V659" s="532"/>
      <c r="W659" s="532"/>
      <c r="X659" s="532"/>
      <c r="Y659" s="532"/>
      <c r="Z659" s="532"/>
      <c r="AA659" s="532"/>
      <c r="AB659" s="532"/>
      <c r="AC659" s="532"/>
      <c r="AD659" s="532"/>
      <c r="AE659" s="532"/>
      <c r="AF659" s="532"/>
      <c r="AG659" s="532"/>
      <c r="AH659" s="532"/>
      <c r="AI659" s="532"/>
      <c r="AJ659" s="532"/>
      <c r="AK659" s="532"/>
      <c r="AL659" s="532"/>
    </row>
    <row r="660" spans="13:38" ht="12.95" customHeight="1" x14ac:dyDescent="0.2">
      <c r="M660" s="532"/>
      <c r="N660" s="532"/>
      <c r="O660" s="532"/>
      <c r="P660" s="532"/>
      <c r="Q660" s="532"/>
      <c r="R660" s="532"/>
      <c r="S660" s="532"/>
      <c r="T660" s="532"/>
      <c r="U660" s="532"/>
      <c r="V660" s="532"/>
      <c r="W660" s="532"/>
      <c r="X660" s="532"/>
      <c r="Y660" s="532"/>
      <c r="Z660" s="532"/>
      <c r="AA660" s="532"/>
      <c r="AB660" s="532"/>
      <c r="AC660" s="532"/>
      <c r="AD660" s="532"/>
      <c r="AE660" s="532"/>
      <c r="AF660" s="532"/>
      <c r="AG660" s="532"/>
      <c r="AH660" s="532"/>
      <c r="AI660" s="532"/>
      <c r="AJ660" s="532"/>
      <c r="AK660" s="532"/>
      <c r="AL660" s="532"/>
    </row>
    <row r="661" spans="13:38" ht="12.95" customHeight="1" x14ac:dyDescent="0.2">
      <c r="M661" s="532"/>
      <c r="N661" s="532"/>
      <c r="O661" s="532"/>
      <c r="P661" s="532"/>
      <c r="Q661" s="532"/>
      <c r="R661" s="532"/>
      <c r="S661" s="532"/>
      <c r="T661" s="532"/>
      <c r="U661" s="532"/>
      <c r="V661" s="532"/>
      <c r="W661" s="532"/>
      <c r="X661" s="532"/>
      <c r="Y661" s="532"/>
      <c r="Z661" s="532"/>
      <c r="AA661" s="532"/>
      <c r="AB661" s="532"/>
      <c r="AC661" s="532"/>
      <c r="AD661" s="532"/>
      <c r="AE661" s="532"/>
      <c r="AF661" s="532"/>
      <c r="AG661" s="532"/>
      <c r="AH661" s="532"/>
      <c r="AI661" s="532"/>
      <c r="AJ661" s="532"/>
      <c r="AK661" s="532"/>
      <c r="AL661" s="532"/>
    </row>
    <row r="662" spans="13:38" ht="12.95" customHeight="1" x14ac:dyDescent="0.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row>
    <row r="663" spans="13:38" ht="12.95" customHeight="1" x14ac:dyDescent="0.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row>
    <row r="664" spans="13:38" ht="12.95" customHeight="1" x14ac:dyDescent="0.2">
      <c r="M664" s="532"/>
      <c r="N664" s="532"/>
      <c r="O664" s="532"/>
      <c r="P664" s="532"/>
      <c r="Q664" s="532"/>
      <c r="R664" s="532"/>
      <c r="S664" s="532"/>
      <c r="T664" s="532"/>
      <c r="U664" s="532"/>
      <c r="V664" s="532"/>
      <c r="W664" s="532"/>
      <c r="X664" s="532"/>
      <c r="Y664" s="532"/>
      <c r="Z664" s="532"/>
      <c r="AA664" s="532"/>
      <c r="AB664" s="532"/>
      <c r="AC664" s="532"/>
      <c r="AD664" s="532"/>
      <c r="AE664" s="532"/>
      <c r="AF664" s="532"/>
      <c r="AG664" s="532"/>
      <c r="AH664" s="532"/>
      <c r="AI664" s="532"/>
      <c r="AJ664" s="532"/>
      <c r="AK664" s="532"/>
      <c r="AL664" s="532"/>
    </row>
    <row r="665" spans="13:38" ht="12.95" customHeight="1" x14ac:dyDescent="0.2">
      <c r="M665" s="532"/>
      <c r="N665" s="532"/>
      <c r="O665" s="532"/>
      <c r="P665" s="532"/>
      <c r="Q665" s="532"/>
      <c r="R665" s="532"/>
      <c r="S665" s="532"/>
      <c r="T665" s="532"/>
      <c r="U665" s="532"/>
      <c r="V665" s="532"/>
      <c r="W665" s="532"/>
      <c r="X665" s="532"/>
      <c r="Y665" s="532"/>
      <c r="Z665" s="532"/>
      <c r="AA665" s="532"/>
      <c r="AB665" s="532"/>
      <c r="AC665" s="532"/>
      <c r="AD665" s="532"/>
      <c r="AE665" s="532"/>
      <c r="AF665" s="532"/>
      <c r="AG665" s="532"/>
      <c r="AH665" s="532"/>
      <c r="AI665" s="532"/>
      <c r="AJ665" s="532"/>
      <c r="AK665" s="532"/>
      <c r="AL665" s="532"/>
    </row>
    <row r="666" spans="13:38" ht="12.95" customHeight="1" x14ac:dyDescent="0.2">
      <c r="M666" s="532"/>
      <c r="N666" s="532"/>
      <c r="O666" s="532"/>
      <c r="P666" s="532"/>
      <c r="Q666" s="532"/>
      <c r="R666" s="532"/>
      <c r="S666" s="532"/>
      <c r="T666" s="532"/>
      <c r="U666" s="532"/>
      <c r="V666" s="532"/>
      <c r="W666" s="532"/>
      <c r="X666" s="532"/>
      <c r="Y666" s="532"/>
      <c r="Z666" s="532"/>
      <c r="AA666" s="532"/>
      <c r="AB666" s="532"/>
      <c r="AC666" s="532"/>
      <c r="AD666" s="532"/>
      <c r="AE666" s="532"/>
      <c r="AF666" s="532"/>
      <c r="AG666" s="532"/>
      <c r="AH666" s="532"/>
      <c r="AI666" s="532"/>
      <c r="AJ666" s="532"/>
      <c r="AK666" s="532"/>
      <c r="AL666" s="532"/>
    </row>
    <row r="667" spans="13:38" ht="12.95" customHeight="1" x14ac:dyDescent="0.2">
      <c r="M667" s="532"/>
      <c r="N667" s="532"/>
      <c r="O667" s="532"/>
      <c r="P667" s="532"/>
      <c r="Q667" s="532"/>
      <c r="R667" s="532"/>
      <c r="S667" s="532"/>
      <c r="T667" s="532"/>
      <c r="U667" s="532"/>
      <c r="V667" s="532"/>
      <c r="W667" s="532"/>
      <c r="X667" s="532"/>
      <c r="Y667" s="532"/>
      <c r="Z667" s="532"/>
      <c r="AA667" s="532"/>
      <c r="AB667" s="532"/>
      <c r="AC667" s="532"/>
      <c r="AD667" s="532"/>
      <c r="AE667" s="532"/>
      <c r="AF667" s="532"/>
      <c r="AG667" s="532"/>
      <c r="AH667" s="532"/>
      <c r="AI667" s="532"/>
      <c r="AJ667" s="532"/>
      <c r="AK667" s="532"/>
      <c r="AL667" s="532"/>
    </row>
    <row r="668" spans="13:38" ht="12.95" customHeight="1" x14ac:dyDescent="0.2">
      <c r="M668" s="532"/>
      <c r="N668" s="532"/>
      <c r="O668" s="532"/>
      <c r="P668" s="532"/>
      <c r="Q668" s="532"/>
      <c r="R668" s="532"/>
      <c r="S668" s="532"/>
      <c r="T668" s="532"/>
      <c r="U668" s="532"/>
      <c r="V668" s="532"/>
      <c r="W668" s="532"/>
      <c r="X668" s="532"/>
      <c r="Y668" s="532"/>
      <c r="Z668" s="532"/>
      <c r="AA668" s="532"/>
      <c r="AB668" s="532"/>
      <c r="AC668" s="532"/>
      <c r="AD668" s="532"/>
      <c r="AE668" s="532"/>
      <c r="AF668" s="532"/>
      <c r="AG668" s="532"/>
      <c r="AH668" s="532"/>
      <c r="AI668" s="532"/>
      <c r="AJ668" s="532"/>
      <c r="AK668" s="532"/>
      <c r="AL668" s="532"/>
    </row>
    <row r="669" spans="13:38" ht="12.95" customHeight="1" x14ac:dyDescent="0.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row>
    <row r="670" spans="13:38" ht="12.95" customHeight="1" x14ac:dyDescent="0.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row>
    <row r="671" spans="13:38" ht="12.95" customHeight="1" x14ac:dyDescent="0.2">
      <c r="M671" s="532"/>
      <c r="N671" s="532"/>
      <c r="O671" s="532"/>
      <c r="P671" s="532"/>
      <c r="Q671" s="532"/>
      <c r="R671" s="532"/>
      <c r="S671" s="532"/>
      <c r="T671" s="532"/>
      <c r="U671" s="532"/>
      <c r="V671" s="532"/>
      <c r="W671" s="532"/>
      <c r="X671" s="532"/>
      <c r="Y671" s="532"/>
      <c r="Z671" s="532"/>
      <c r="AA671" s="532"/>
      <c r="AB671" s="532"/>
      <c r="AC671" s="532"/>
      <c r="AD671" s="532"/>
      <c r="AE671" s="532"/>
      <c r="AF671" s="532"/>
      <c r="AG671" s="532"/>
      <c r="AH671" s="532"/>
      <c r="AI671" s="532"/>
      <c r="AJ671" s="532"/>
      <c r="AK671" s="532"/>
      <c r="AL671" s="532"/>
    </row>
    <row r="672" spans="13:38" ht="12.95" customHeight="1" x14ac:dyDescent="0.2">
      <c r="M672" s="532"/>
      <c r="N672" s="532"/>
      <c r="O672" s="532"/>
      <c r="P672" s="532"/>
      <c r="Q672" s="532"/>
      <c r="R672" s="532"/>
      <c r="S672" s="532"/>
      <c r="T672" s="532"/>
      <c r="U672" s="532"/>
      <c r="V672" s="532"/>
      <c r="W672" s="532"/>
      <c r="X672" s="532"/>
      <c r="Y672" s="532"/>
      <c r="Z672" s="532"/>
      <c r="AA672" s="532"/>
      <c r="AB672" s="532"/>
      <c r="AC672" s="532"/>
      <c r="AD672" s="532"/>
      <c r="AE672" s="532"/>
      <c r="AF672" s="532"/>
      <c r="AG672" s="532"/>
      <c r="AH672" s="532"/>
      <c r="AI672" s="532"/>
      <c r="AJ672" s="532"/>
      <c r="AK672" s="532"/>
      <c r="AL672" s="532"/>
    </row>
    <row r="673" spans="13:38" ht="12.95" customHeight="1" x14ac:dyDescent="0.2">
      <c r="M673" s="532"/>
      <c r="N673" s="532"/>
      <c r="O673" s="532"/>
      <c r="P673" s="532"/>
      <c r="Q673" s="532"/>
      <c r="R673" s="532"/>
      <c r="S673" s="532"/>
      <c r="T673" s="532"/>
      <c r="U673" s="532"/>
      <c r="V673" s="532"/>
      <c r="W673" s="532"/>
      <c r="X673" s="532"/>
      <c r="Y673" s="532"/>
      <c r="Z673" s="532"/>
      <c r="AA673" s="532"/>
      <c r="AB673" s="532"/>
      <c r="AC673" s="532"/>
      <c r="AD673" s="532"/>
      <c r="AE673" s="532"/>
      <c r="AF673" s="532"/>
      <c r="AG673" s="532"/>
      <c r="AH673" s="532"/>
      <c r="AI673" s="532"/>
      <c r="AJ673" s="532"/>
      <c r="AK673" s="532"/>
      <c r="AL673" s="532"/>
    </row>
    <row r="674" spans="13:38" ht="12.95" customHeight="1" x14ac:dyDescent="0.2">
      <c r="M674" s="532"/>
      <c r="N674" s="532"/>
      <c r="O674" s="532"/>
      <c r="P674" s="532"/>
      <c r="Q674" s="532"/>
      <c r="R674" s="532"/>
      <c r="S674" s="532"/>
      <c r="T674" s="532"/>
      <c r="U674" s="532"/>
      <c r="V674" s="532"/>
      <c r="W674" s="532"/>
      <c r="X674" s="532"/>
      <c r="Y674" s="532"/>
      <c r="Z674" s="532"/>
      <c r="AA674" s="532"/>
      <c r="AB674" s="532"/>
      <c r="AC674" s="532"/>
      <c r="AD674" s="532"/>
      <c r="AE674" s="532"/>
      <c r="AF674" s="532"/>
      <c r="AG674" s="532"/>
      <c r="AH674" s="532"/>
      <c r="AI674" s="532"/>
      <c r="AJ674" s="532"/>
      <c r="AK674" s="532"/>
      <c r="AL674" s="532"/>
    </row>
    <row r="675" spans="13:38" ht="12.95" customHeight="1" x14ac:dyDescent="0.2">
      <c r="M675" s="532"/>
      <c r="N675" s="532"/>
      <c r="O675" s="532"/>
      <c r="P675" s="532"/>
      <c r="Q675" s="532"/>
      <c r="R675" s="532"/>
      <c r="S675" s="532"/>
      <c r="T675" s="532"/>
      <c r="U675" s="532"/>
      <c r="V675" s="532"/>
      <c r="W675" s="532"/>
      <c r="X675" s="532"/>
      <c r="Y675" s="532"/>
      <c r="Z675" s="532"/>
      <c r="AA675" s="532"/>
      <c r="AB675" s="532"/>
      <c r="AC675" s="532"/>
      <c r="AD675" s="532"/>
      <c r="AE675" s="532"/>
      <c r="AF675" s="532"/>
      <c r="AG675" s="532"/>
      <c r="AH675" s="532"/>
      <c r="AI675" s="532"/>
      <c r="AJ675" s="532"/>
      <c r="AK675" s="532"/>
      <c r="AL675" s="532"/>
    </row>
    <row r="676" spans="13:38" ht="12.95" customHeight="1" x14ac:dyDescent="0.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row>
    <row r="677" spans="13:38" ht="12.95" customHeight="1" x14ac:dyDescent="0.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row>
    <row r="678" spans="13:38" ht="12.95" customHeight="1" x14ac:dyDescent="0.2">
      <c r="M678" s="532"/>
      <c r="N678" s="532"/>
      <c r="O678" s="532"/>
      <c r="P678" s="532"/>
      <c r="Q678" s="532"/>
      <c r="R678" s="532"/>
      <c r="S678" s="532"/>
      <c r="T678" s="532"/>
      <c r="U678" s="532"/>
      <c r="V678" s="532"/>
      <c r="W678" s="532"/>
      <c r="X678" s="532"/>
      <c r="Y678" s="532"/>
      <c r="Z678" s="532"/>
      <c r="AA678" s="532"/>
      <c r="AB678" s="532"/>
      <c r="AC678" s="532"/>
      <c r="AD678" s="532"/>
      <c r="AE678" s="532"/>
      <c r="AF678" s="532"/>
      <c r="AG678" s="532"/>
      <c r="AH678" s="532"/>
      <c r="AI678" s="532"/>
      <c r="AJ678" s="532"/>
      <c r="AK678" s="532"/>
      <c r="AL678" s="532"/>
    </row>
    <row r="679" spans="13:38" ht="12.95" customHeight="1" x14ac:dyDescent="0.2">
      <c r="M679" s="532"/>
      <c r="N679" s="532"/>
      <c r="O679" s="532"/>
      <c r="P679" s="532"/>
      <c r="Q679" s="532"/>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row>
    <row r="680" spans="13:38" ht="12.95" customHeight="1" x14ac:dyDescent="0.2">
      <c r="M680" s="532"/>
      <c r="N680" s="532"/>
      <c r="O680" s="532"/>
      <c r="P680" s="532"/>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row>
    <row r="681" spans="13:38" ht="12.95" customHeight="1" x14ac:dyDescent="0.2">
      <c r="M681" s="532"/>
      <c r="N681" s="532"/>
      <c r="O681" s="532"/>
      <c r="P681" s="532"/>
      <c r="Q681" s="532"/>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row>
    <row r="682" spans="13:38" ht="12.95" customHeight="1" x14ac:dyDescent="0.2">
      <c r="M682" s="532"/>
      <c r="N682" s="532"/>
      <c r="O682" s="532"/>
      <c r="P682" s="532"/>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row>
    <row r="683" spans="13:38" ht="12.95" customHeight="1" x14ac:dyDescent="0.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row>
    <row r="684" spans="13:38" ht="12.95" customHeight="1" x14ac:dyDescent="0.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row>
    <row r="685" spans="13:38" ht="12.95" customHeight="1" x14ac:dyDescent="0.2">
      <c r="M685" s="532"/>
      <c r="N685" s="532"/>
      <c r="O685" s="532"/>
      <c r="P685" s="532"/>
      <c r="Q685" s="532"/>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row>
    <row r="686" spans="13:38" ht="12.95" customHeight="1" x14ac:dyDescent="0.2">
      <c r="M686" s="532"/>
      <c r="N686" s="532"/>
      <c r="O686" s="532"/>
      <c r="P686" s="532"/>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row>
    <row r="687" spans="13:38" ht="12.95" customHeight="1" x14ac:dyDescent="0.2">
      <c r="M687" s="532"/>
      <c r="N687" s="532"/>
      <c r="O687" s="532"/>
      <c r="P687" s="532"/>
      <c r="Q687" s="532"/>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row>
    <row r="688" spans="13:38" ht="12.95" customHeight="1" x14ac:dyDescent="0.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row>
    <row r="689" spans="13:38" ht="12.95" customHeight="1" x14ac:dyDescent="0.2">
      <c r="M689" s="532"/>
      <c r="N689" s="532"/>
      <c r="O689" s="532"/>
      <c r="P689" s="532"/>
      <c r="Q689" s="532"/>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row>
    <row r="690" spans="13:38" ht="12.95" customHeight="1" x14ac:dyDescent="0.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row>
    <row r="691" spans="13:38" ht="12.95" customHeight="1" x14ac:dyDescent="0.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row>
    <row r="692" spans="13:38" ht="12.95" customHeight="1" x14ac:dyDescent="0.2">
      <c r="M692" s="532"/>
      <c r="N692" s="532"/>
      <c r="O692" s="532"/>
      <c r="P692" s="532"/>
      <c r="Q692" s="532"/>
      <c r="R692" s="532"/>
      <c r="S692" s="532"/>
      <c r="T692" s="532"/>
      <c r="U692" s="532"/>
      <c r="V692" s="532"/>
      <c r="W692" s="532"/>
      <c r="X692" s="532"/>
      <c r="Y692" s="532"/>
      <c r="Z692" s="532"/>
      <c r="AA692" s="532"/>
      <c r="AB692" s="532"/>
      <c r="AC692" s="532"/>
      <c r="AD692" s="532"/>
      <c r="AE692" s="532"/>
      <c r="AF692" s="532"/>
      <c r="AG692" s="532"/>
      <c r="AH692" s="532"/>
      <c r="AI692" s="532"/>
      <c r="AJ692" s="532"/>
      <c r="AK692" s="532"/>
      <c r="AL692" s="532"/>
    </row>
    <row r="693" spans="13:38" ht="12.95" customHeight="1" x14ac:dyDescent="0.2">
      <c r="M693" s="532"/>
      <c r="N693" s="532"/>
      <c r="O693" s="532"/>
      <c r="P693" s="532"/>
      <c r="Q693" s="532"/>
      <c r="R693" s="532"/>
      <c r="S693" s="532"/>
      <c r="T693" s="532"/>
      <c r="U693" s="532"/>
      <c r="V693" s="532"/>
      <c r="W693" s="532"/>
      <c r="X693" s="532"/>
      <c r="Y693" s="532"/>
      <c r="Z693" s="532"/>
      <c r="AA693" s="532"/>
      <c r="AB693" s="532"/>
      <c r="AC693" s="532"/>
      <c r="AD693" s="532"/>
      <c r="AE693" s="532"/>
      <c r="AF693" s="532"/>
      <c r="AG693" s="532"/>
      <c r="AH693" s="532"/>
      <c r="AI693" s="532"/>
      <c r="AJ693" s="532"/>
      <c r="AK693" s="532"/>
      <c r="AL693" s="532"/>
    </row>
    <row r="694" spans="13:38" ht="12.95" customHeight="1" x14ac:dyDescent="0.2">
      <c r="M694" s="532"/>
      <c r="N694" s="532"/>
      <c r="O694" s="532"/>
      <c r="P694" s="532"/>
      <c r="Q694" s="532"/>
      <c r="R694" s="532"/>
      <c r="S694" s="532"/>
      <c r="T694" s="532"/>
      <c r="U694" s="532"/>
      <c r="V694" s="532"/>
      <c r="W694" s="532"/>
      <c r="X694" s="532"/>
      <c r="Y694" s="532"/>
      <c r="Z694" s="532"/>
      <c r="AA694" s="532"/>
      <c r="AB694" s="532"/>
      <c r="AC694" s="532"/>
      <c r="AD694" s="532"/>
      <c r="AE694" s="532"/>
      <c r="AF694" s="532"/>
      <c r="AG694" s="532"/>
      <c r="AH694" s="532"/>
      <c r="AI694" s="532"/>
      <c r="AJ694" s="532"/>
      <c r="AK694" s="532"/>
      <c r="AL694" s="532"/>
    </row>
    <row r="695" spans="13:38" ht="12.95" customHeight="1" x14ac:dyDescent="0.2">
      <c r="M695" s="532"/>
      <c r="N695" s="532"/>
      <c r="O695" s="532"/>
      <c r="P695" s="532"/>
      <c r="Q695" s="532"/>
      <c r="R695" s="532"/>
      <c r="S695" s="532"/>
      <c r="T695" s="532"/>
      <c r="U695" s="532"/>
      <c r="V695" s="532"/>
      <c r="W695" s="532"/>
      <c r="X695" s="532"/>
      <c r="Y695" s="532"/>
      <c r="Z695" s="532"/>
      <c r="AA695" s="532"/>
      <c r="AB695" s="532"/>
      <c r="AC695" s="532"/>
      <c r="AD695" s="532"/>
      <c r="AE695" s="532"/>
      <c r="AF695" s="532"/>
      <c r="AG695" s="532"/>
      <c r="AH695" s="532"/>
      <c r="AI695" s="532"/>
      <c r="AJ695" s="532"/>
      <c r="AK695" s="532"/>
      <c r="AL695" s="532"/>
    </row>
    <row r="696" spans="13:38" ht="12.95" customHeight="1" x14ac:dyDescent="0.2">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row>
    <row r="697" spans="13:38" ht="12.95" customHeight="1" x14ac:dyDescent="0.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row>
    <row r="698" spans="13:38" ht="12.95" customHeight="1" x14ac:dyDescent="0.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row>
    <row r="699" spans="13:38" ht="12.95" customHeight="1" x14ac:dyDescent="0.2">
      <c r="M699" s="532"/>
      <c r="N699" s="532"/>
      <c r="O699" s="532"/>
      <c r="P699" s="532"/>
      <c r="Q699" s="532"/>
      <c r="R699" s="532"/>
      <c r="S699" s="532"/>
      <c r="T699" s="532"/>
      <c r="U699" s="532"/>
      <c r="V699" s="532"/>
      <c r="W699" s="532"/>
      <c r="X699" s="532"/>
      <c r="Y699" s="532"/>
      <c r="Z699" s="532"/>
      <c r="AA699" s="532"/>
      <c r="AB699" s="532"/>
      <c r="AC699" s="532"/>
      <c r="AD699" s="532"/>
      <c r="AE699" s="532"/>
      <c r="AF699" s="532"/>
      <c r="AG699" s="532"/>
      <c r="AH699" s="532"/>
      <c r="AI699" s="532"/>
      <c r="AJ699" s="532"/>
      <c r="AK699" s="532"/>
      <c r="AL699" s="532"/>
    </row>
    <row r="700" spans="13:38" ht="12.95" customHeight="1" x14ac:dyDescent="0.2">
      <c r="M700" s="532"/>
      <c r="N700" s="532"/>
      <c r="O700" s="532"/>
      <c r="P700" s="532"/>
      <c r="Q700" s="532"/>
      <c r="R700" s="532"/>
      <c r="S700" s="532"/>
      <c r="T700" s="532"/>
      <c r="U700" s="532"/>
      <c r="V700" s="532"/>
      <c r="W700" s="532"/>
      <c r="X700" s="532"/>
      <c r="Y700" s="532"/>
      <c r="Z700" s="532"/>
      <c r="AA700" s="532"/>
      <c r="AB700" s="532"/>
      <c r="AC700" s="532"/>
      <c r="AD700" s="532"/>
      <c r="AE700" s="532"/>
      <c r="AF700" s="532"/>
      <c r="AG700" s="532"/>
      <c r="AH700" s="532"/>
      <c r="AI700" s="532"/>
      <c r="AJ700" s="532"/>
      <c r="AK700" s="532"/>
      <c r="AL700" s="532"/>
    </row>
    <row r="701" spans="13:38" ht="12.95" customHeight="1" x14ac:dyDescent="0.2">
      <c r="M701" s="532"/>
      <c r="N701" s="532"/>
      <c r="O701" s="532"/>
      <c r="P701" s="532"/>
      <c r="Q701" s="532"/>
      <c r="R701" s="532"/>
      <c r="S701" s="532"/>
      <c r="T701" s="532"/>
      <c r="U701" s="532"/>
      <c r="V701" s="532"/>
      <c r="W701" s="532"/>
      <c r="X701" s="532"/>
      <c r="Y701" s="532"/>
      <c r="Z701" s="532"/>
      <c r="AA701" s="532"/>
      <c r="AB701" s="532"/>
      <c r="AC701" s="532"/>
      <c r="AD701" s="532"/>
      <c r="AE701" s="532"/>
      <c r="AF701" s="532"/>
      <c r="AG701" s="532"/>
      <c r="AH701" s="532"/>
      <c r="AI701" s="532"/>
      <c r="AJ701" s="532"/>
      <c r="AK701" s="532"/>
      <c r="AL701" s="532"/>
    </row>
    <row r="702" spans="13:38" ht="12.95" customHeight="1" x14ac:dyDescent="0.2">
      <c r="M702" s="532"/>
      <c r="N702" s="532"/>
      <c r="O702" s="532"/>
      <c r="P702" s="532"/>
      <c r="Q702" s="532"/>
      <c r="R702" s="532"/>
      <c r="S702" s="532"/>
      <c r="T702" s="532"/>
      <c r="U702" s="532"/>
      <c r="V702" s="532"/>
      <c r="W702" s="532"/>
      <c r="X702" s="532"/>
      <c r="Y702" s="532"/>
      <c r="Z702" s="532"/>
      <c r="AA702" s="532"/>
      <c r="AB702" s="532"/>
      <c r="AC702" s="532"/>
      <c r="AD702" s="532"/>
      <c r="AE702" s="532"/>
      <c r="AF702" s="532"/>
      <c r="AG702" s="532"/>
      <c r="AH702" s="532"/>
      <c r="AI702" s="532"/>
      <c r="AJ702" s="532"/>
      <c r="AK702" s="532"/>
      <c r="AL702" s="532"/>
    </row>
    <row r="703" spans="13:38" ht="12.95" customHeight="1" x14ac:dyDescent="0.2">
      <c r="M703" s="532"/>
      <c r="N703" s="532"/>
      <c r="O703" s="532"/>
      <c r="P703" s="532"/>
      <c r="Q703" s="532"/>
      <c r="R703" s="532"/>
      <c r="S703" s="532"/>
      <c r="T703" s="532"/>
      <c r="U703" s="532"/>
      <c r="V703" s="532"/>
      <c r="W703" s="532"/>
      <c r="X703" s="532"/>
      <c r="Y703" s="532"/>
      <c r="Z703" s="532"/>
      <c r="AA703" s="532"/>
      <c r="AB703" s="532"/>
      <c r="AC703" s="532"/>
      <c r="AD703" s="532"/>
      <c r="AE703" s="532"/>
      <c r="AF703" s="532"/>
      <c r="AG703" s="532"/>
      <c r="AH703" s="532"/>
      <c r="AI703" s="532"/>
      <c r="AJ703" s="532"/>
      <c r="AK703" s="532"/>
      <c r="AL703" s="532"/>
    </row>
    <row r="704" spans="13:38" ht="12.95" customHeight="1" x14ac:dyDescent="0.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row>
    <row r="705" spans="13:38" ht="12.95" customHeight="1" x14ac:dyDescent="0.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row>
    <row r="706" spans="13:38" ht="12.95" customHeight="1" x14ac:dyDescent="0.2">
      <c r="M706" s="532"/>
      <c r="N706" s="532"/>
      <c r="O706" s="532"/>
      <c r="P706" s="532"/>
      <c r="Q706" s="532"/>
      <c r="R706" s="532"/>
      <c r="S706" s="532"/>
      <c r="T706" s="532"/>
      <c r="U706" s="532"/>
      <c r="V706" s="532"/>
      <c r="W706" s="532"/>
      <c r="X706" s="532"/>
      <c r="Y706" s="532"/>
      <c r="Z706" s="532"/>
      <c r="AA706" s="532"/>
      <c r="AB706" s="532"/>
      <c r="AC706" s="532"/>
      <c r="AD706" s="532"/>
      <c r="AE706" s="532"/>
      <c r="AF706" s="532"/>
      <c r="AG706" s="532"/>
      <c r="AH706" s="532"/>
      <c r="AI706" s="532"/>
      <c r="AJ706" s="532"/>
      <c r="AK706" s="532"/>
      <c r="AL706" s="532"/>
    </row>
    <row r="707" spans="13:38" ht="12.95" customHeight="1" x14ac:dyDescent="0.2">
      <c r="M707" s="532"/>
      <c r="N707" s="532"/>
      <c r="O707" s="532"/>
      <c r="P707" s="532"/>
      <c r="Q707" s="532"/>
      <c r="R707" s="532"/>
      <c r="S707" s="532"/>
      <c r="T707" s="532"/>
      <c r="U707" s="532"/>
      <c r="V707" s="532"/>
      <c r="W707" s="532"/>
      <c r="X707" s="532"/>
      <c r="Y707" s="532"/>
      <c r="Z707" s="532"/>
      <c r="AA707" s="532"/>
      <c r="AB707" s="532"/>
      <c r="AC707" s="532"/>
      <c r="AD707" s="532"/>
      <c r="AE707" s="532"/>
      <c r="AF707" s="532"/>
      <c r="AG707" s="532"/>
      <c r="AH707" s="532"/>
      <c r="AI707" s="532"/>
      <c r="AJ707" s="532"/>
      <c r="AK707" s="532"/>
      <c r="AL707" s="532"/>
    </row>
    <row r="708" spans="13:38" ht="12.95" customHeight="1" x14ac:dyDescent="0.2">
      <c r="M708" s="532"/>
      <c r="N708" s="532"/>
      <c r="O708" s="532"/>
      <c r="P708" s="532"/>
      <c r="Q708" s="532"/>
      <c r="R708" s="532"/>
      <c r="S708" s="532"/>
      <c r="T708" s="532"/>
      <c r="U708" s="532"/>
      <c r="V708" s="532"/>
      <c r="W708" s="532"/>
      <c r="X708" s="532"/>
      <c r="Y708" s="532"/>
      <c r="Z708" s="532"/>
      <c r="AA708" s="532"/>
      <c r="AB708" s="532"/>
      <c r="AC708" s="532"/>
      <c r="AD708" s="532"/>
      <c r="AE708" s="532"/>
      <c r="AF708" s="532"/>
      <c r="AG708" s="532"/>
      <c r="AH708" s="532"/>
      <c r="AI708" s="532"/>
      <c r="AJ708" s="532"/>
      <c r="AK708" s="532"/>
      <c r="AL708" s="532"/>
    </row>
    <row r="709" spans="13:38" ht="12.95" customHeight="1" x14ac:dyDescent="0.2">
      <c r="M709" s="532"/>
      <c r="N709" s="532"/>
      <c r="O709" s="532"/>
      <c r="P709" s="532"/>
      <c r="Q709" s="532"/>
      <c r="R709" s="532"/>
      <c r="S709" s="532"/>
      <c r="T709" s="532"/>
      <c r="U709" s="532"/>
      <c r="V709" s="532"/>
      <c r="W709" s="532"/>
      <c r="X709" s="532"/>
      <c r="Y709" s="532"/>
      <c r="Z709" s="532"/>
      <c r="AA709" s="532"/>
      <c r="AB709" s="532"/>
      <c r="AC709" s="532"/>
      <c r="AD709" s="532"/>
      <c r="AE709" s="532"/>
      <c r="AF709" s="532"/>
      <c r="AG709" s="532"/>
      <c r="AH709" s="532"/>
      <c r="AI709" s="532"/>
      <c r="AJ709" s="532"/>
      <c r="AK709" s="532"/>
      <c r="AL709" s="532"/>
    </row>
    <row r="710" spans="13:38" ht="12.95" customHeight="1" x14ac:dyDescent="0.2">
      <c r="M710" s="532"/>
      <c r="N710" s="532"/>
      <c r="O710" s="532"/>
      <c r="P710" s="532"/>
      <c r="Q710" s="532"/>
      <c r="R710" s="532"/>
      <c r="S710" s="532"/>
      <c r="T710" s="532"/>
      <c r="U710" s="532"/>
      <c r="V710" s="532"/>
      <c r="W710" s="532"/>
      <c r="X710" s="532"/>
      <c r="Y710" s="532"/>
      <c r="Z710" s="532"/>
      <c r="AA710" s="532"/>
      <c r="AB710" s="532"/>
      <c r="AC710" s="532"/>
      <c r="AD710" s="532"/>
      <c r="AE710" s="532"/>
      <c r="AF710" s="532"/>
      <c r="AG710" s="532"/>
      <c r="AH710" s="532"/>
      <c r="AI710" s="532"/>
      <c r="AJ710" s="532"/>
      <c r="AK710" s="532"/>
      <c r="AL710" s="532"/>
    </row>
    <row r="711" spans="13:38" ht="12.95" customHeight="1" x14ac:dyDescent="0.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row>
    <row r="712" spans="13:38" ht="12.95" customHeight="1" x14ac:dyDescent="0.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row>
    <row r="713" spans="13:38" ht="12.95" customHeight="1" x14ac:dyDescent="0.2">
      <c r="M713" s="532"/>
      <c r="N713" s="532"/>
      <c r="O713" s="532"/>
      <c r="P713" s="532"/>
      <c r="Q713" s="532"/>
      <c r="R713" s="532"/>
      <c r="S713" s="532"/>
      <c r="T713" s="532"/>
      <c r="U713" s="532"/>
      <c r="V713" s="532"/>
      <c r="W713" s="532"/>
      <c r="X713" s="532"/>
      <c r="Y713" s="532"/>
      <c r="Z713" s="532"/>
      <c r="AA713" s="532"/>
      <c r="AB713" s="532"/>
      <c r="AC713" s="532"/>
      <c r="AD713" s="532"/>
      <c r="AE713" s="532"/>
      <c r="AF713" s="532"/>
      <c r="AG713" s="532"/>
      <c r="AH713" s="532"/>
      <c r="AI713" s="532"/>
      <c r="AJ713" s="532"/>
      <c r="AK713" s="532"/>
      <c r="AL713" s="532"/>
    </row>
    <row r="714" spans="13:38" ht="12.95" customHeight="1" x14ac:dyDescent="0.2">
      <c r="M714" s="532"/>
      <c r="N714" s="532"/>
      <c r="O714" s="532"/>
      <c r="P714" s="532"/>
      <c r="Q714" s="532"/>
      <c r="R714" s="532"/>
      <c r="S714" s="532"/>
      <c r="T714" s="532"/>
      <c r="U714" s="532"/>
      <c r="V714" s="532"/>
      <c r="W714" s="532"/>
      <c r="X714" s="532"/>
      <c r="Y714" s="532"/>
      <c r="Z714" s="532"/>
      <c r="AA714" s="532"/>
      <c r="AB714" s="532"/>
      <c r="AC714" s="532"/>
      <c r="AD714" s="532"/>
      <c r="AE714" s="532"/>
      <c r="AF714" s="532"/>
      <c r="AG714" s="532"/>
      <c r="AH714" s="532"/>
      <c r="AI714" s="532"/>
      <c r="AJ714" s="532"/>
      <c r="AK714" s="532"/>
      <c r="AL714" s="532"/>
    </row>
    <row r="715" spans="13:38" ht="12.95" customHeight="1" x14ac:dyDescent="0.2">
      <c r="M715" s="532"/>
      <c r="N715" s="532"/>
      <c r="O715" s="532"/>
      <c r="P715" s="532"/>
      <c r="Q715" s="532"/>
      <c r="R715" s="532"/>
      <c r="S715" s="532"/>
      <c r="T715" s="532"/>
      <c r="U715" s="532"/>
      <c r="V715" s="532"/>
      <c r="W715" s="532"/>
      <c r="X715" s="532"/>
      <c r="Y715" s="532"/>
      <c r="Z715" s="532"/>
      <c r="AA715" s="532"/>
      <c r="AB715" s="532"/>
      <c r="AC715" s="532"/>
      <c r="AD715" s="532"/>
      <c r="AE715" s="532"/>
      <c r="AF715" s="532"/>
      <c r="AG715" s="532"/>
      <c r="AH715" s="532"/>
      <c r="AI715" s="532"/>
      <c r="AJ715" s="532"/>
      <c r="AK715" s="532"/>
      <c r="AL715" s="532"/>
    </row>
    <row r="716" spans="13:38" ht="12.95" customHeight="1" x14ac:dyDescent="0.2">
      <c r="M716" s="532"/>
      <c r="N716" s="532"/>
      <c r="O716" s="532"/>
      <c r="P716" s="532"/>
      <c r="Q716" s="532"/>
      <c r="R716" s="532"/>
      <c r="S716" s="532"/>
      <c r="T716" s="532"/>
      <c r="U716" s="532"/>
      <c r="V716" s="532"/>
      <c r="W716" s="532"/>
      <c r="X716" s="532"/>
      <c r="Y716" s="532"/>
      <c r="Z716" s="532"/>
      <c r="AA716" s="532"/>
      <c r="AB716" s="532"/>
      <c r="AC716" s="532"/>
      <c r="AD716" s="532"/>
      <c r="AE716" s="532"/>
      <c r="AF716" s="532"/>
      <c r="AG716" s="532"/>
      <c r="AH716" s="532"/>
      <c r="AI716" s="532"/>
      <c r="AJ716" s="532"/>
      <c r="AK716" s="532"/>
      <c r="AL716" s="532"/>
    </row>
    <row r="717" spans="13:38" ht="12.95" customHeight="1" x14ac:dyDescent="0.2">
      <c r="M717" s="532"/>
      <c r="N717" s="532"/>
      <c r="O717" s="532"/>
      <c r="P717" s="532"/>
      <c r="Q717" s="532"/>
      <c r="R717" s="532"/>
      <c r="S717" s="532"/>
      <c r="T717" s="532"/>
      <c r="U717" s="532"/>
      <c r="V717" s="532"/>
      <c r="W717" s="532"/>
      <c r="X717" s="532"/>
      <c r="Y717" s="532"/>
      <c r="Z717" s="532"/>
      <c r="AA717" s="532"/>
      <c r="AB717" s="532"/>
      <c r="AC717" s="532"/>
      <c r="AD717" s="532"/>
      <c r="AE717" s="532"/>
      <c r="AF717" s="532"/>
      <c r="AG717" s="532"/>
      <c r="AH717" s="532"/>
      <c r="AI717" s="532"/>
      <c r="AJ717" s="532"/>
      <c r="AK717" s="532"/>
      <c r="AL717" s="532"/>
    </row>
    <row r="718" spans="13:38" ht="12.95" customHeight="1" x14ac:dyDescent="0.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row>
    <row r="719" spans="13:38" ht="12.95" customHeight="1" x14ac:dyDescent="0.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row>
    <row r="720" spans="13:38" ht="12.95" customHeight="1" x14ac:dyDescent="0.2">
      <c r="M720" s="532"/>
      <c r="N720" s="532"/>
      <c r="O720" s="532"/>
      <c r="P720" s="532"/>
      <c r="Q720" s="532"/>
      <c r="R720" s="532"/>
      <c r="S720" s="532"/>
      <c r="T720" s="532"/>
      <c r="U720" s="532"/>
      <c r="V720" s="532"/>
      <c r="W720" s="532"/>
      <c r="X720" s="532"/>
      <c r="Y720" s="532"/>
      <c r="Z720" s="532"/>
      <c r="AA720" s="532"/>
      <c r="AB720" s="532"/>
      <c r="AC720" s="532"/>
      <c r="AD720" s="532"/>
      <c r="AE720" s="532"/>
      <c r="AF720" s="532"/>
      <c r="AG720" s="532"/>
      <c r="AH720" s="532"/>
      <c r="AI720" s="532"/>
      <c r="AJ720" s="532"/>
      <c r="AK720" s="532"/>
      <c r="AL720" s="532"/>
    </row>
    <row r="721" spans="13:38" ht="12.95" customHeight="1" x14ac:dyDescent="0.2">
      <c r="M721" s="532"/>
      <c r="N721" s="532"/>
      <c r="O721" s="532"/>
      <c r="P721" s="532"/>
      <c r="Q721" s="532"/>
      <c r="R721" s="532"/>
      <c r="S721" s="532"/>
      <c r="T721" s="532"/>
      <c r="U721" s="532"/>
      <c r="V721" s="532"/>
      <c r="W721" s="532"/>
      <c r="X721" s="532"/>
      <c r="Y721" s="532"/>
      <c r="Z721" s="532"/>
      <c r="AA721" s="532"/>
      <c r="AB721" s="532"/>
      <c r="AC721" s="532"/>
      <c r="AD721" s="532"/>
      <c r="AE721" s="532"/>
      <c r="AF721" s="532"/>
      <c r="AG721" s="532"/>
      <c r="AH721" s="532"/>
      <c r="AI721" s="532"/>
      <c r="AJ721" s="532"/>
      <c r="AK721" s="532"/>
      <c r="AL721" s="532"/>
    </row>
    <row r="722" spans="13:38" ht="12.95" customHeight="1" x14ac:dyDescent="0.2">
      <c r="M722" s="532"/>
      <c r="N722" s="532"/>
      <c r="O722" s="532"/>
      <c r="P722" s="532"/>
      <c r="Q722" s="532"/>
      <c r="R722" s="532"/>
      <c r="S722" s="532"/>
      <c r="T722" s="532"/>
      <c r="U722" s="532"/>
      <c r="V722" s="532"/>
      <c r="W722" s="532"/>
      <c r="X722" s="532"/>
      <c r="Y722" s="532"/>
      <c r="Z722" s="532"/>
      <c r="AA722" s="532"/>
      <c r="AB722" s="532"/>
      <c r="AC722" s="532"/>
      <c r="AD722" s="532"/>
      <c r="AE722" s="532"/>
      <c r="AF722" s="532"/>
      <c r="AG722" s="532"/>
      <c r="AH722" s="532"/>
      <c r="AI722" s="532"/>
      <c r="AJ722" s="532"/>
      <c r="AK722" s="532"/>
      <c r="AL722" s="532"/>
    </row>
    <row r="723" spans="13:38" ht="12.95" customHeight="1" x14ac:dyDescent="0.2">
      <c r="M723" s="532"/>
      <c r="N723" s="532"/>
      <c r="O723" s="532"/>
      <c r="P723" s="532"/>
      <c r="Q723" s="532"/>
      <c r="R723" s="532"/>
      <c r="S723" s="532"/>
      <c r="T723" s="532"/>
      <c r="U723" s="532"/>
      <c r="V723" s="532"/>
      <c r="W723" s="532"/>
      <c r="X723" s="532"/>
      <c r="Y723" s="532"/>
      <c r="Z723" s="532"/>
      <c r="AA723" s="532"/>
      <c r="AB723" s="532"/>
      <c r="AC723" s="532"/>
      <c r="AD723" s="532"/>
      <c r="AE723" s="532"/>
      <c r="AF723" s="532"/>
      <c r="AG723" s="532"/>
      <c r="AH723" s="532"/>
      <c r="AI723" s="532"/>
      <c r="AJ723" s="532"/>
      <c r="AK723" s="532"/>
      <c r="AL723" s="532"/>
    </row>
    <row r="724" spans="13:38" ht="12.95" customHeight="1" x14ac:dyDescent="0.2">
      <c r="M724" s="532"/>
      <c r="N724" s="532"/>
      <c r="O724" s="532"/>
      <c r="P724" s="532"/>
      <c r="Q724" s="532"/>
      <c r="R724" s="532"/>
      <c r="S724" s="532"/>
      <c r="T724" s="532"/>
      <c r="U724" s="532"/>
      <c r="V724" s="532"/>
      <c r="W724" s="532"/>
      <c r="X724" s="532"/>
      <c r="Y724" s="532"/>
      <c r="Z724" s="532"/>
      <c r="AA724" s="532"/>
      <c r="AB724" s="532"/>
      <c r="AC724" s="532"/>
      <c r="AD724" s="532"/>
      <c r="AE724" s="532"/>
      <c r="AF724" s="532"/>
      <c r="AG724" s="532"/>
      <c r="AH724" s="532"/>
      <c r="AI724" s="532"/>
      <c r="AJ724" s="532"/>
      <c r="AK724" s="532"/>
      <c r="AL724" s="532"/>
    </row>
    <row r="725" spans="13:38" ht="12.95" customHeight="1" x14ac:dyDescent="0.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row>
    <row r="726" spans="13:38" ht="12.95" customHeight="1" x14ac:dyDescent="0.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row>
    <row r="727" spans="13:38" ht="12.95" customHeight="1" x14ac:dyDescent="0.2">
      <c r="M727" s="532"/>
      <c r="N727" s="532"/>
      <c r="O727" s="532"/>
      <c r="P727" s="532"/>
      <c r="Q727" s="532"/>
      <c r="R727" s="532"/>
      <c r="S727" s="532"/>
      <c r="T727" s="532"/>
      <c r="U727" s="532"/>
      <c r="V727" s="532"/>
      <c r="W727" s="532"/>
      <c r="X727" s="532"/>
      <c r="Y727" s="532"/>
      <c r="Z727" s="532"/>
      <c r="AA727" s="532"/>
      <c r="AB727" s="532"/>
      <c r="AC727" s="532"/>
      <c r="AD727" s="532"/>
      <c r="AE727" s="532"/>
      <c r="AF727" s="532"/>
      <c r="AG727" s="532"/>
      <c r="AH727" s="532"/>
      <c r="AI727" s="532"/>
      <c r="AJ727" s="532"/>
      <c r="AK727" s="532"/>
      <c r="AL727" s="532"/>
    </row>
    <row r="728" spans="13:38" ht="12.95" customHeight="1" x14ac:dyDescent="0.2">
      <c r="M728" s="532"/>
      <c r="N728" s="532"/>
      <c r="O728" s="532"/>
      <c r="P728" s="532"/>
      <c r="Q728" s="532"/>
      <c r="R728" s="532"/>
      <c r="S728" s="532"/>
      <c r="T728" s="532"/>
      <c r="U728" s="532"/>
      <c r="V728" s="532"/>
      <c r="W728" s="532"/>
      <c r="X728" s="532"/>
      <c r="Y728" s="532"/>
      <c r="Z728" s="532"/>
      <c r="AA728" s="532"/>
      <c r="AB728" s="532"/>
      <c r="AC728" s="532"/>
      <c r="AD728" s="532"/>
      <c r="AE728" s="532"/>
      <c r="AF728" s="532"/>
      <c r="AG728" s="532"/>
      <c r="AH728" s="532"/>
      <c r="AI728" s="532"/>
      <c r="AJ728" s="532"/>
      <c r="AK728" s="532"/>
      <c r="AL728" s="532"/>
    </row>
    <row r="729" spans="13:38" ht="12.95" customHeight="1" x14ac:dyDescent="0.2">
      <c r="M729" s="532"/>
      <c r="N729" s="532"/>
      <c r="O729" s="532"/>
      <c r="P729" s="532"/>
      <c r="Q729" s="532"/>
      <c r="R729" s="532"/>
      <c r="S729" s="532"/>
      <c r="T729" s="532"/>
      <c r="U729" s="532"/>
      <c r="V729" s="532"/>
      <c r="W729" s="532"/>
      <c r="X729" s="532"/>
      <c r="Y729" s="532"/>
      <c r="Z729" s="532"/>
      <c r="AA729" s="532"/>
      <c r="AB729" s="532"/>
      <c r="AC729" s="532"/>
      <c r="AD729" s="532"/>
      <c r="AE729" s="532"/>
      <c r="AF729" s="532"/>
      <c r="AG729" s="532"/>
      <c r="AH729" s="532"/>
      <c r="AI729" s="532"/>
      <c r="AJ729" s="532"/>
      <c r="AK729" s="532"/>
      <c r="AL729" s="532"/>
    </row>
    <row r="730" spans="13:38" ht="12.95" customHeight="1" x14ac:dyDescent="0.2">
      <c r="M730" s="532"/>
      <c r="N730" s="532"/>
      <c r="O730" s="532"/>
      <c r="P730" s="532"/>
      <c r="Q730" s="532"/>
      <c r="R730" s="532"/>
      <c r="S730" s="532"/>
      <c r="T730" s="532"/>
      <c r="U730" s="532"/>
      <c r="V730" s="532"/>
      <c r="W730" s="532"/>
      <c r="X730" s="532"/>
      <c r="Y730" s="532"/>
      <c r="Z730" s="532"/>
      <c r="AA730" s="532"/>
      <c r="AB730" s="532"/>
      <c r="AC730" s="532"/>
      <c r="AD730" s="532"/>
      <c r="AE730" s="532"/>
      <c r="AF730" s="532"/>
      <c r="AG730" s="532"/>
      <c r="AH730" s="532"/>
      <c r="AI730" s="532"/>
      <c r="AJ730" s="532"/>
      <c r="AK730" s="532"/>
      <c r="AL730" s="532"/>
    </row>
    <row r="731" spans="13:38" ht="12.95" customHeight="1" x14ac:dyDescent="0.2">
      <c r="M731" s="532"/>
      <c r="N731" s="532"/>
      <c r="O731" s="532"/>
      <c r="P731" s="532"/>
      <c r="Q731" s="532"/>
      <c r="R731" s="532"/>
      <c r="S731" s="532"/>
      <c r="T731" s="532"/>
      <c r="U731" s="532"/>
      <c r="V731" s="532"/>
      <c r="W731" s="532"/>
      <c r="X731" s="532"/>
      <c r="Y731" s="532"/>
      <c r="Z731" s="532"/>
      <c r="AA731" s="532"/>
      <c r="AB731" s="532"/>
      <c r="AC731" s="532"/>
      <c r="AD731" s="532"/>
      <c r="AE731" s="532"/>
      <c r="AF731" s="532"/>
      <c r="AG731" s="532"/>
      <c r="AH731" s="532"/>
      <c r="AI731" s="532"/>
      <c r="AJ731" s="532"/>
      <c r="AK731" s="532"/>
      <c r="AL731" s="532"/>
    </row>
    <row r="732" spans="13:38" ht="12.95" customHeight="1" x14ac:dyDescent="0.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row>
    <row r="733" spans="13:38" ht="12.95" customHeight="1" x14ac:dyDescent="0.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row>
    <row r="734" spans="13:38" ht="12.95" customHeight="1" x14ac:dyDescent="0.2">
      <c r="M734" s="532"/>
      <c r="N734" s="532"/>
      <c r="O734" s="532"/>
      <c r="P734" s="532"/>
      <c r="Q734" s="532"/>
      <c r="R734" s="532"/>
      <c r="S734" s="532"/>
      <c r="T734" s="532"/>
      <c r="U734" s="532"/>
      <c r="V734" s="532"/>
      <c r="W734" s="532"/>
      <c r="X734" s="532"/>
      <c r="Y734" s="532"/>
      <c r="Z734" s="532"/>
      <c r="AA734" s="532"/>
      <c r="AB734" s="532"/>
      <c r="AC734" s="532"/>
      <c r="AD734" s="532"/>
      <c r="AE734" s="532"/>
      <c r="AF734" s="532"/>
      <c r="AG734" s="532"/>
      <c r="AH734" s="532"/>
      <c r="AI734" s="532"/>
      <c r="AJ734" s="532"/>
      <c r="AK734" s="532"/>
      <c r="AL734" s="532"/>
    </row>
    <row r="735" spans="13:38" ht="12.95" customHeight="1" x14ac:dyDescent="0.2">
      <c r="M735" s="532"/>
      <c r="N735" s="532"/>
      <c r="O735" s="532"/>
      <c r="P735" s="532"/>
      <c r="Q735" s="532"/>
      <c r="R735" s="532"/>
      <c r="S735" s="532"/>
      <c r="T735" s="532"/>
      <c r="U735" s="532"/>
      <c r="V735" s="532"/>
      <c r="W735" s="532"/>
      <c r="X735" s="532"/>
      <c r="Y735" s="532"/>
      <c r="Z735" s="532"/>
      <c r="AA735" s="532"/>
      <c r="AB735" s="532"/>
      <c r="AC735" s="532"/>
      <c r="AD735" s="532"/>
      <c r="AE735" s="532"/>
      <c r="AF735" s="532"/>
      <c r="AG735" s="532"/>
      <c r="AH735" s="532"/>
      <c r="AI735" s="532"/>
      <c r="AJ735" s="532"/>
      <c r="AK735" s="532"/>
      <c r="AL735" s="532"/>
    </row>
    <row r="736" spans="13:38" ht="12.95" customHeight="1" x14ac:dyDescent="0.2">
      <c r="M736" s="532"/>
      <c r="N736" s="532"/>
      <c r="O736" s="532"/>
      <c r="P736" s="532"/>
      <c r="Q736" s="532"/>
      <c r="R736" s="532"/>
      <c r="S736" s="532"/>
      <c r="T736" s="532"/>
      <c r="U736" s="532"/>
      <c r="V736" s="532"/>
      <c r="W736" s="532"/>
      <c r="X736" s="532"/>
      <c r="Y736" s="532"/>
      <c r="Z736" s="532"/>
      <c r="AA736" s="532"/>
      <c r="AB736" s="532"/>
      <c r="AC736" s="532"/>
      <c r="AD736" s="532"/>
      <c r="AE736" s="532"/>
      <c r="AF736" s="532"/>
      <c r="AG736" s="532"/>
      <c r="AH736" s="532"/>
      <c r="AI736" s="532"/>
      <c r="AJ736" s="532"/>
      <c r="AK736" s="532"/>
      <c r="AL736" s="532"/>
    </row>
    <row r="737" spans="13:38" ht="12.95" customHeight="1" x14ac:dyDescent="0.2">
      <c r="M737" s="532"/>
      <c r="N737" s="532"/>
      <c r="O737" s="532"/>
      <c r="P737" s="532"/>
      <c r="Q737" s="532"/>
      <c r="R737" s="532"/>
      <c r="S737" s="532"/>
      <c r="T737" s="532"/>
      <c r="U737" s="532"/>
      <c r="V737" s="532"/>
      <c r="W737" s="532"/>
      <c r="X737" s="532"/>
      <c r="Y737" s="532"/>
      <c r="Z737" s="532"/>
      <c r="AA737" s="532"/>
      <c r="AB737" s="532"/>
      <c r="AC737" s="532"/>
      <c r="AD737" s="532"/>
      <c r="AE737" s="532"/>
      <c r="AF737" s="532"/>
      <c r="AG737" s="532"/>
      <c r="AH737" s="532"/>
      <c r="AI737" s="532"/>
      <c r="AJ737" s="532"/>
      <c r="AK737" s="532"/>
      <c r="AL737" s="532"/>
    </row>
    <row r="738" spans="13:38" ht="12.95" customHeight="1" x14ac:dyDescent="0.2">
      <c r="M738" s="532"/>
      <c r="N738" s="532"/>
      <c r="O738" s="532"/>
      <c r="P738" s="532"/>
      <c r="Q738" s="532"/>
      <c r="R738" s="532"/>
      <c r="S738" s="532"/>
      <c r="T738" s="532"/>
      <c r="U738" s="532"/>
      <c r="V738" s="532"/>
      <c r="W738" s="532"/>
      <c r="X738" s="532"/>
      <c r="Y738" s="532"/>
      <c r="Z738" s="532"/>
      <c r="AA738" s="532"/>
      <c r="AB738" s="532"/>
      <c r="AC738" s="532"/>
      <c r="AD738" s="532"/>
      <c r="AE738" s="532"/>
      <c r="AF738" s="532"/>
      <c r="AG738" s="532"/>
      <c r="AH738" s="532"/>
      <c r="AI738" s="532"/>
      <c r="AJ738" s="532"/>
      <c r="AK738" s="532"/>
      <c r="AL738" s="532"/>
    </row>
    <row r="739" spans="13:38" ht="12.95" customHeight="1" x14ac:dyDescent="0.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row>
    <row r="740" spans="13:38" ht="12.95" customHeight="1" x14ac:dyDescent="0.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row>
    <row r="741" spans="13:38" ht="12.95" customHeight="1" x14ac:dyDescent="0.2">
      <c r="M741" s="532"/>
      <c r="N741" s="532"/>
      <c r="O741" s="532"/>
      <c r="P741" s="532"/>
      <c r="Q741" s="532"/>
      <c r="R741" s="532"/>
      <c r="S741" s="532"/>
      <c r="T741" s="532"/>
      <c r="U741" s="532"/>
      <c r="V741" s="532"/>
      <c r="W741" s="532"/>
      <c r="X741" s="532"/>
      <c r="Y741" s="532"/>
      <c r="Z741" s="532"/>
      <c r="AA741" s="532"/>
      <c r="AB741" s="532"/>
      <c r="AC741" s="532"/>
      <c r="AD741" s="532"/>
      <c r="AE741" s="532"/>
      <c r="AF741" s="532"/>
      <c r="AG741" s="532"/>
      <c r="AH741" s="532"/>
      <c r="AI741" s="532"/>
      <c r="AJ741" s="532"/>
      <c r="AK741" s="532"/>
      <c r="AL741" s="532"/>
    </row>
    <row r="742" spans="13:38" ht="12.95" customHeight="1" x14ac:dyDescent="0.2">
      <c r="M742" s="532"/>
      <c r="N742" s="532"/>
      <c r="O742" s="532"/>
      <c r="P742" s="532"/>
      <c r="Q742" s="532"/>
      <c r="R742" s="532"/>
      <c r="S742" s="532"/>
      <c r="T742" s="532"/>
      <c r="U742" s="532"/>
      <c r="V742" s="532"/>
      <c r="W742" s="532"/>
      <c r="X742" s="532"/>
      <c r="Y742" s="532"/>
      <c r="Z742" s="532"/>
      <c r="AA742" s="532"/>
      <c r="AB742" s="532"/>
      <c r="AC742" s="532"/>
      <c r="AD742" s="532"/>
      <c r="AE742" s="532"/>
      <c r="AF742" s="532"/>
      <c r="AG742" s="532"/>
      <c r="AH742" s="532"/>
      <c r="AI742" s="532"/>
      <c r="AJ742" s="532"/>
      <c r="AK742" s="532"/>
      <c r="AL742" s="532"/>
    </row>
    <row r="743" spans="13:38" ht="12.95" customHeight="1" x14ac:dyDescent="0.2">
      <c r="M743" s="532"/>
      <c r="N743" s="532"/>
      <c r="O743" s="532"/>
      <c r="P743" s="532"/>
      <c r="Q743" s="532"/>
      <c r="R743" s="532"/>
      <c r="S743" s="532"/>
      <c r="T743" s="532"/>
      <c r="U743" s="532"/>
      <c r="V743" s="532"/>
      <c r="W743" s="532"/>
      <c r="X743" s="532"/>
      <c r="Y743" s="532"/>
      <c r="Z743" s="532"/>
      <c r="AA743" s="532"/>
      <c r="AB743" s="532"/>
      <c r="AC743" s="532"/>
      <c r="AD743" s="532"/>
      <c r="AE743" s="532"/>
      <c r="AF743" s="532"/>
      <c r="AG743" s="532"/>
      <c r="AH743" s="532"/>
      <c r="AI743" s="532"/>
      <c r="AJ743" s="532"/>
      <c r="AK743" s="532"/>
      <c r="AL743" s="532"/>
    </row>
    <row r="744" spans="13:38" ht="12.95" customHeight="1" x14ac:dyDescent="0.2">
      <c r="M744" s="532"/>
      <c r="N744" s="532"/>
      <c r="O744" s="532"/>
      <c r="P744" s="532"/>
      <c r="Q744" s="532"/>
      <c r="R744" s="532"/>
      <c r="S744" s="532"/>
      <c r="T744" s="532"/>
      <c r="U744" s="532"/>
      <c r="V744" s="532"/>
      <c r="W744" s="532"/>
      <c r="X744" s="532"/>
      <c r="Y744" s="532"/>
      <c r="Z744" s="532"/>
      <c r="AA744" s="532"/>
      <c r="AB744" s="532"/>
      <c r="AC744" s="532"/>
      <c r="AD744" s="532"/>
      <c r="AE744" s="532"/>
      <c r="AF744" s="532"/>
      <c r="AG744" s="532"/>
      <c r="AH744" s="532"/>
      <c r="AI744" s="532"/>
      <c r="AJ744" s="532"/>
      <c r="AK744" s="532"/>
      <c r="AL744" s="532"/>
    </row>
    <row r="745" spans="13:38" ht="12.95" customHeight="1" x14ac:dyDescent="0.2">
      <c r="M745" s="532"/>
      <c r="N745" s="532"/>
      <c r="O745" s="532"/>
      <c r="P745" s="532"/>
      <c r="Q745" s="532"/>
      <c r="R745" s="532"/>
      <c r="S745" s="532"/>
      <c r="T745" s="532"/>
      <c r="U745" s="532"/>
      <c r="V745" s="532"/>
      <c r="W745" s="532"/>
      <c r="X745" s="532"/>
      <c r="Y745" s="532"/>
      <c r="Z745" s="532"/>
      <c r="AA745" s="532"/>
      <c r="AB745" s="532"/>
      <c r="AC745" s="532"/>
      <c r="AD745" s="532"/>
      <c r="AE745" s="532"/>
      <c r="AF745" s="532"/>
      <c r="AG745" s="532"/>
      <c r="AH745" s="532"/>
      <c r="AI745" s="532"/>
      <c r="AJ745" s="532"/>
      <c r="AK745" s="532"/>
      <c r="AL745" s="532"/>
    </row>
    <row r="746" spans="13:38" ht="12.95" customHeight="1" x14ac:dyDescent="0.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row>
    <row r="747" spans="13:38" ht="12.95" customHeight="1" x14ac:dyDescent="0.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row>
    <row r="748" spans="13:38" ht="12.95" customHeight="1" x14ac:dyDescent="0.2">
      <c r="M748" s="532"/>
      <c r="N748" s="532"/>
      <c r="O748" s="532"/>
      <c r="P748" s="532"/>
      <c r="Q748" s="532"/>
      <c r="R748" s="532"/>
      <c r="S748" s="532"/>
      <c r="T748" s="532"/>
      <c r="U748" s="532"/>
      <c r="V748" s="532"/>
      <c r="W748" s="532"/>
      <c r="X748" s="532"/>
      <c r="Y748" s="532"/>
      <c r="Z748" s="532"/>
      <c r="AA748" s="532"/>
      <c r="AB748" s="532"/>
      <c r="AC748" s="532"/>
      <c r="AD748" s="532"/>
      <c r="AE748" s="532"/>
      <c r="AF748" s="532"/>
      <c r="AG748" s="532"/>
      <c r="AH748" s="532"/>
      <c r="AI748" s="532"/>
      <c r="AJ748" s="532"/>
      <c r="AK748" s="532"/>
      <c r="AL748" s="532"/>
    </row>
    <row r="749" spans="13:38" ht="12.95" customHeight="1" x14ac:dyDescent="0.2">
      <c r="M749" s="532"/>
      <c r="N749" s="532"/>
      <c r="O749" s="532"/>
      <c r="P749" s="532"/>
      <c r="Q749" s="532"/>
      <c r="R749" s="532"/>
      <c r="S749" s="532"/>
      <c r="T749" s="532"/>
      <c r="U749" s="532"/>
      <c r="V749" s="532"/>
      <c r="W749" s="532"/>
      <c r="X749" s="532"/>
      <c r="Y749" s="532"/>
      <c r="Z749" s="532"/>
      <c r="AA749" s="532"/>
      <c r="AB749" s="532"/>
      <c r="AC749" s="532"/>
      <c r="AD749" s="532"/>
      <c r="AE749" s="532"/>
      <c r="AF749" s="532"/>
      <c r="AG749" s="532"/>
      <c r="AH749" s="532"/>
      <c r="AI749" s="532"/>
      <c r="AJ749" s="532"/>
      <c r="AK749" s="532"/>
      <c r="AL749" s="532"/>
    </row>
    <row r="750" spans="13:38" ht="12.95" customHeight="1" x14ac:dyDescent="0.2">
      <c r="M750" s="532"/>
      <c r="N750" s="532"/>
      <c r="O750" s="532"/>
      <c r="P750" s="532"/>
      <c r="Q750" s="532"/>
      <c r="R750" s="532"/>
      <c r="S750" s="532"/>
      <c r="T750" s="532"/>
      <c r="U750" s="532"/>
      <c r="V750" s="532"/>
      <c r="W750" s="532"/>
      <c r="X750" s="532"/>
      <c r="Y750" s="532"/>
      <c r="Z750" s="532"/>
      <c r="AA750" s="532"/>
      <c r="AB750" s="532"/>
      <c r="AC750" s="532"/>
      <c r="AD750" s="532"/>
      <c r="AE750" s="532"/>
      <c r="AF750" s="532"/>
      <c r="AG750" s="532"/>
      <c r="AH750" s="532"/>
      <c r="AI750" s="532"/>
      <c r="AJ750" s="532"/>
      <c r="AK750" s="532"/>
      <c r="AL750" s="532"/>
    </row>
    <row r="751" spans="13:38" ht="12.95" customHeight="1" x14ac:dyDescent="0.2">
      <c r="M751" s="532"/>
      <c r="N751" s="532"/>
      <c r="O751" s="532"/>
      <c r="P751" s="532"/>
      <c r="Q751" s="532"/>
      <c r="R751" s="532"/>
      <c r="S751" s="532"/>
      <c r="T751" s="532"/>
      <c r="U751" s="532"/>
      <c r="V751" s="532"/>
      <c r="W751" s="532"/>
      <c r="X751" s="532"/>
      <c r="Y751" s="532"/>
      <c r="Z751" s="532"/>
      <c r="AA751" s="532"/>
      <c r="AB751" s="532"/>
      <c r="AC751" s="532"/>
      <c r="AD751" s="532"/>
      <c r="AE751" s="532"/>
      <c r="AF751" s="532"/>
      <c r="AG751" s="532"/>
      <c r="AH751" s="532"/>
      <c r="AI751" s="532"/>
      <c r="AJ751" s="532"/>
      <c r="AK751" s="532"/>
      <c r="AL751" s="532"/>
    </row>
    <row r="752" spans="13:38" ht="12.95" customHeight="1" x14ac:dyDescent="0.2">
      <c r="M752" s="532"/>
      <c r="N752" s="532"/>
      <c r="O752" s="532"/>
      <c r="P752" s="532"/>
      <c r="Q752" s="532"/>
      <c r="R752" s="532"/>
      <c r="S752" s="532"/>
      <c r="T752" s="532"/>
      <c r="U752" s="532"/>
      <c r="V752" s="532"/>
      <c r="W752" s="532"/>
      <c r="X752" s="532"/>
      <c r="Y752" s="532"/>
      <c r="Z752" s="532"/>
      <c r="AA752" s="532"/>
      <c r="AB752" s="532"/>
      <c r="AC752" s="532"/>
      <c r="AD752" s="532"/>
      <c r="AE752" s="532"/>
      <c r="AF752" s="532"/>
      <c r="AG752" s="532"/>
      <c r="AH752" s="532"/>
      <c r="AI752" s="532"/>
      <c r="AJ752" s="532"/>
      <c r="AK752" s="532"/>
      <c r="AL752" s="532"/>
    </row>
    <row r="753" spans="13:38" ht="12.95" customHeight="1" x14ac:dyDescent="0.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row>
    <row r="754" spans="13:38" ht="12.95" customHeight="1" x14ac:dyDescent="0.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row>
    <row r="755" spans="13:38" ht="12.95" customHeight="1" x14ac:dyDescent="0.2">
      <c r="M755" s="532"/>
      <c r="N755" s="532"/>
      <c r="O755" s="532"/>
      <c r="P755" s="532"/>
      <c r="Q755" s="532"/>
      <c r="R755" s="532"/>
      <c r="S755" s="532"/>
      <c r="T755" s="532"/>
      <c r="U755" s="532"/>
      <c r="V755" s="532"/>
      <c r="W755" s="532"/>
      <c r="X755" s="532"/>
      <c r="Y755" s="532"/>
      <c r="Z755" s="532"/>
      <c r="AA755" s="532"/>
      <c r="AB755" s="532"/>
      <c r="AC755" s="532"/>
      <c r="AD755" s="532"/>
      <c r="AE755" s="532"/>
      <c r="AF755" s="532"/>
      <c r="AG755" s="532"/>
      <c r="AH755" s="532"/>
      <c r="AI755" s="532"/>
      <c r="AJ755" s="532"/>
      <c r="AK755" s="532"/>
      <c r="AL755" s="532"/>
    </row>
    <row r="756" spans="13:38" ht="12.95" customHeight="1" x14ac:dyDescent="0.2">
      <c r="M756" s="532"/>
      <c r="N756" s="532"/>
      <c r="O756" s="532"/>
      <c r="P756" s="532"/>
      <c r="Q756" s="532"/>
      <c r="R756" s="532"/>
      <c r="S756" s="532"/>
      <c r="T756" s="532"/>
      <c r="U756" s="532"/>
      <c r="V756" s="532"/>
      <c r="W756" s="532"/>
      <c r="X756" s="532"/>
      <c r="Y756" s="532"/>
      <c r="Z756" s="532"/>
      <c r="AA756" s="532"/>
      <c r="AB756" s="532"/>
      <c r="AC756" s="532"/>
      <c r="AD756" s="532"/>
      <c r="AE756" s="532"/>
      <c r="AF756" s="532"/>
      <c r="AG756" s="532"/>
      <c r="AH756" s="532"/>
      <c r="AI756" s="532"/>
      <c r="AJ756" s="532"/>
      <c r="AK756" s="532"/>
      <c r="AL756" s="532"/>
    </row>
    <row r="757" spans="13:38" ht="12.95" customHeight="1" x14ac:dyDescent="0.2">
      <c r="M757" s="532"/>
      <c r="N757" s="532"/>
      <c r="O757" s="532"/>
      <c r="P757" s="532"/>
      <c r="Q757" s="532"/>
      <c r="R757" s="532"/>
      <c r="S757" s="532"/>
      <c r="T757" s="532"/>
      <c r="U757" s="532"/>
      <c r="V757" s="532"/>
      <c r="W757" s="532"/>
      <c r="X757" s="532"/>
      <c r="Y757" s="532"/>
      <c r="Z757" s="532"/>
      <c r="AA757" s="532"/>
      <c r="AB757" s="532"/>
      <c r="AC757" s="532"/>
      <c r="AD757" s="532"/>
      <c r="AE757" s="532"/>
      <c r="AF757" s="532"/>
      <c r="AG757" s="532"/>
      <c r="AH757" s="532"/>
      <c r="AI757" s="532"/>
      <c r="AJ757" s="532"/>
      <c r="AK757" s="532"/>
      <c r="AL757" s="532"/>
    </row>
    <row r="758" spans="13:38" ht="12.95" customHeight="1" x14ac:dyDescent="0.2">
      <c r="M758" s="532"/>
      <c r="N758" s="532"/>
      <c r="O758" s="532"/>
      <c r="P758" s="532"/>
      <c r="Q758" s="532"/>
      <c r="R758" s="532"/>
      <c r="S758" s="532"/>
      <c r="T758" s="532"/>
      <c r="U758" s="532"/>
      <c r="V758" s="532"/>
      <c r="W758" s="532"/>
      <c r="X758" s="532"/>
      <c r="Y758" s="532"/>
      <c r="Z758" s="532"/>
      <c r="AA758" s="532"/>
      <c r="AB758" s="532"/>
      <c r="AC758" s="532"/>
      <c r="AD758" s="532"/>
      <c r="AE758" s="532"/>
      <c r="AF758" s="532"/>
      <c r="AG758" s="532"/>
      <c r="AH758" s="532"/>
      <c r="AI758" s="532"/>
      <c r="AJ758" s="532"/>
      <c r="AK758" s="532"/>
      <c r="AL758" s="532"/>
    </row>
    <row r="759" spans="13:38" ht="12.95" customHeight="1" x14ac:dyDescent="0.2">
      <c r="M759" s="532"/>
      <c r="N759" s="532"/>
      <c r="O759" s="532"/>
      <c r="P759" s="532"/>
      <c r="Q759" s="532"/>
      <c r="R759" s="532"/>
      <c r="S759" s="532"/>
      <c r="T759" s="532"/>
      <c r="U759" s="532"/>
      <c r="V759" s="532"/>
      <c r="W759" s="532"/>
      <c r="X759" s="532"/>
      <c r="Y759" s="532"/>
      <c r="Z759" s="532"/>
      <c r="AA759" s="532"/>
      <c r="AB759" s="532"/>
      <c r="AC759" s="532"/>
      <c r="AD759" s="532"/>
      <c r="AE759" s="532"/>
      <c r="AF759" s="532"/>
      <c r="AG759" s="532"/>
      <c r="AH759" s="532"/>
      <c r="AI759" s="532"/>
      <c r="AJ759" s="532"/>
      <c r="AK759" s="532"/>
      <c r="AL759" s="532"/>
    </row>
    <row r="760" spans="13:38" ht="12.95" customHeight="1" x14ac:dyDescent="0.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row>
    <row r="761" spans="13:38" ht="12.95" customHeight="1" x14ac:dyDescent="0.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row>
    <row r="762" spans="13:38" ht="12.95" customHeight="1" x14ac:dyDescent="0.2">
      <c r="M762" s="532"/>
      <c r="N762" s="532"/>
      <c r="O762" s="532"/>
      <c r="P762" s="532"/>
      <c r="Q762" s="532"/>
      <c r="R762" s="532"/>
      <c r="S762" s="532"/>
      <c r="T762" s="532"/>
      <c r="U762" s="532"/>
      <c r="V762" s="532"/>
      <c r="W762" s="532"/>
      <c r="X762" s="532"/>
      <c r="Y762" s="532"/>
      <c r="Z762" s="532"/>
      <c r="AA762" s="532"/>
      <c r="AB762" s="532"/>
      <c r="AC762" s="532"/>
      <c r="AD762" s="532"/>
      <c r="AE762" s="532"/>
      <c r="AF762" s="532"/>
      <c r="AG762" s="532"/>
      <c r="AH762" s="532"/>
      <c r="AI762" s="532"/>
      <c r="AJ762" s="532"/>
      <c r="AK762" s="532"/>
      <c r="AL762" s="532"/>
    </row>
    <row r="763" spans="13:38" ht="12.95" customHeight="1" x14ac:dyDescent="0.2">
      <c r="M763" s="532"/>
      <c r="N763" s="532"/>
      <c r="O763" s="532"/>
      <c r="P763" s="532"/>
      <c r="Q763" s="532"/>
      <c r="R763" s="532"/>
      <c r="S763" s="532"/>
      <c r="T763" s="532"/>
      <c r="U763" s="532"/>
      <c r="V763" s="532"/>
      <c r="W763" s="532"/>
      <c r="X763" s="532"/>
      <c r="Y763" s="532"/>
      <c r="Z763" s="532"/>
      <c r="AA763" s="532"/>
      <c r="AB763" s="532"/>
      <c r="AC763" s="532"/>
      <c r="AD763" s="532"/>
      <c r="AE763" s="532"/>
      <c r="AF763" s="532"/>
      <c r="AG763" s="532"/>
      <c r="AH763" s="532"/>
      <c r="AI763" s="532"/>
      <c r="AJ763" s="532"/>
      <c r="AK763" s="532"/>
      <c r="AL763" s="532"/>
    </row>
    <row r="764" spans="13:38" ht="12.95" customHeight="1" x14ac:dyDescent="0.2">
      <c r="M764" s="532"/>
      <c r="N764" s="532"/>
      <c r="O764" s="532"/>
      <c r="P764" s="532"/>
      <c r="Q764" s="532"/>
      <c r="R764" s="532"/>
      <c r="S764" s="532"/>
      <c r="T764" s="532"/>
      <c r="U764" s="532"/>
      <c r="V764" s="532"/>
      <c r="W764" s="532"/>
      <c r="X764" s="532"/>
      <c r="Y764" s="532"/>
      <c r="Z764" s="532"/>
      <c r="AA764" s="532"/>
      <c r="AB764" s="532"/>
      <c r="AC764" s="532"/>
      <c r="AD764" s="532"/>
      <c r="AE764" s="532"/>
      <c r="AF764" s="532"/>
      <c r="AG764" s="532"/>
      <c r="AH764" s="532"/>
      <c r="AI764" s="532"/>
      <c r="AJ764" s="532"/>
      <c r="AK764" s="532"/>
      <c r="AL764" s="532"/>
    </row>
    <row r="765" spans="13:38" ht="12.95" customHeight="1" x14ac:dyDescent="0.2">
      <c r="M765" s="532"/>
      <c r="N765" s="532"/>
      <c r="O765" s="532"/>
      <c r="P765" s="532"/>
      <c r="Q765" s="532"/>
      <c r="R765" s="532"/>
      <c r="S765" s="532"/>
      <c r="T765" s="532"/>
      <c r="U765" s="532"/>
      <c r="V765" s="532"/>
      <c r="W765" s="532"/>
      <c r="X765" s="532"/>
      <c r="Y765" s="532"/>
      <c r="Z765" s="532"/>
      <c r="AA765" s="532"/>
      <c r="AB765" s="532"/>
      <c r="AC765" s="532"/>
      <c r="AD765" s="532"/>
      <c r="AE765" s="532"/>
      <c r="AF765" s="532"/>
      <c r="AG765" s="532"/>
      <c r="AH765" s="532"/>
      <c r="AI765" s="532"/>
      <c r="AJ765" s="532"/>
      <c r="AK765" s="532"/>
      <c r="AL765" s="532"/>
    </row>
    <row r="766" spans="13:38" ht="12.95" customHeight="1" x14ac:dyDescent="0.2">
      <c r="M766" s="532"/>
      <c r="N766" s="532"/>
      <c r="O766" s="532"/>
      <c r="P766" s="532"/>
      <c r="Q766" s="532"/>
      <c r="R766" s="532"/>
      <c r="S766" s="532"/>
      <c r="T766" s="532"/>
      <c r="U766" s="532"/>
      <c r="V766" s="532"/>
      <c r="W766" s="532"/>
      <c r="X766" s="532"/>
      <c r="Y766" s="532"/>
      <c r="Z766" s="532"/>
      <c r="AA766" s="532"/>
      <c r="AB766" s="532"/>
      <c r="AC766" s="532"/>
      <c r="AD766" s="532"/>
      <c r="AE766" s="532"/>
      <c r="AF766" s="532"/>
      <c r="AG766" s="532"/>
      <c r="AH766" s="532"/>
      <c r="AI766" s="532"/>
      <c r="AJ766" s="532"/>
      <c r="AK766" s="532"/>
      <c r="AL766" s="532"/>
    </row>
    <row r="767" spans="13:38" ht="12.95" customHeight="1" x14ac:dyDescent="0.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row>
    <row r="768" spans="13:38" ht="12.95" customHeight="1" x14ac:dyDescent="0.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row>
    <row r="769" spans="13:38" ht="12.95" customHeight="1" x14ac:dyDescent="0.2">
      <c r="M769" s="532"/>
      <c r="N769" s="532"/>
      <c r="O769" s="532"/>
      <c r="P769" s="532"/>
      <c r="Q769" s="532"/>
      <c r="R769" s="532"/>
      <c r="S769" s="532"/>
      <c r="T769" s="532"/>
      <c r="U769" s="532"/>
      <c r="V769" s="532"/>
      <c r="W769" s="532"/>
      <c r="X769" s="532"/>
      <c r="Y769" s="532"/>
      <c r="Z769" s="532"/>
      <c r="AA769" s="532"/>
      <c r="AB769" s="532"/>
      <c r="AC769" s="532"/>
      <c r="AD769" s="532"/>
      <c r="AE769" s="532"/>
      <c r="AF769" s="532"/>
      <c r="AG769" s="532"/>
      <c r="AH769" s="532"/>
      <c r="AI769" s="532"/>
      <c r="AJ769" s="532"/>
      <c r="AK769" s="532"/>
      <c r="AL769" s="532"/>
    </row>
    <row r="770" spans="13:38" ht="12.95" customHeight="1" x14ac:dyDescent="0.2">
      <c r="M770" s="532"/>
      <c r="N770" s="532"/>
      <c r="O770" s="532"/>
      <c r="P770" s="532"/>
      <c r="Q770" s="532"/>
      <c r="R770" s="532"/>
      <c r="S770" s="532"/>
      <c r="T770" s="532"/>
      <c r="U770" s="532"/>
      <c r="V770" s="532"/>
      <c r="W770" s="532"/>
      <c r="X770" s="532"/>
      <c r="Y770" s="532"/>
      <c r="Z770" s="532"/>
      <c r="AA770" s="532"/>
      <c r="AB770" s="532"/>
      <c r="AC770" s="532"/>
      <c r="AD770" s="532"/>
      <c r="AE770" s="532"/>
      <c r="AF770" s="532"/>
      <c r="AG770" s="532"/>
      <c r="AH770" s="532"/>
      <c r="AI770" s="532"/>
      <c r="AJ770" s="532"/>
      <c r="AK770" s="532"/>
      <c r="AL770" s="532"/>
    </row>
    <row r="771" spans="13:38" ht="12.95" customHeight="1" x14ac:dyDescent="0.2">
      <c r="M771" s="532"/>
      <c r="N771" s="532"/>
      <c r="O771" s="532"/>
      <c r="P771" s="532"/>
      <c r="Q771" s="532"/>
      <c r="R771" s="532"/>
      <c r="S771" s="532"/>
      <c r="T771" s="532"/>
      <c r="U771" s="532"/>
      <c r="V771" s="532"/>
      <c r="W771" s="532"/>
      <c r="X771" s="532"/>
      <c r="Y771" s="532"/>
      <c r="Z771" s="532"/>
      <c r="AA771" s="532"/>
      <c r="AB771" s="532"/>
      <c r="AC771" s="532"/>
      <c r="AD771" s="532"/>
      <c r="AE771" s="532"/>
      <c r="AF771" s="532"/>
      <c r="AG771" s="532"/>
      <c r="AH771" s="532"/>
      <c r="AI771" s="532"/>
      <c r="AJ771" s="532"/>
      <c r="AK771" s="532"/>
      <c r="AL771" s="532"/>
    </row>
    <row r="772" spans="13:38" ht="12.95" customHeight="1" x14ac:dyDescent="0.2">
      <c r="M772" s="532"/>
      <c r="N772" s="532"/>
      <c r="O772" s="532"/>
      <c r="P772" s="532"/>
      <c r="Q772" s="532"/>
      <c r="R772" s="532"/>
      <c r="S772" s="532"/>
      <c r="T772" s="532"/>
      <c r="U772" s="532"/>
      <c r="V772" s="532"/>
      <c r="W772" s="532"/>
      <c r="X772" s="532"/>
      <c r="Y772" s="532"/>
      <c r="Z772" s="532"/>
      <c r="AA772" s="532"/>
      <c r="AB772" s="532"/>
      <c r="AC772" s="532"/>
      <c r="AD772" s="532"/>
      <c r="AE772" s="532"/>
      <c r="AF772" s="532"/>
      <c r="AG772" s="532"/>
      <c r="AH772" s="532"/>
      <c r="AI772" s="532"/>
      <c r="AJ772" s="532"/>
      <c r="AK772" s="532"/>
      <c r="AL772" s="532"/>
    </row>
    <row r="773" spans="13:38" ht="12.95" customHeight="1" x14ac:dyDescent="0.2">
      <c r="M773" s="532"/>
      <c r="N773" s="532"/>
      <c r="O773" s="532"/>
      <c r="P773" s="532"/>
      <c r="Q773" s="532"/>
      <c r="R773" s="532"/>
      <c r="S773" s="532"/>
      <c r="T773" s="532"/>
      <c r="U773" s="532"/>
      <c r="V773" s="532"/>
      <c r="W773" s="532"/>
      <c r="X773" s="532"/>
      <c r="Y773" s="532"/>
      <c r="Z773" s="532"/>
      <c r="AA773" s="532"/>
      <c r="AB773" s="532"/>
      <c r="AC773" s="532"/>
      <c r="AD773" s="532"/>
      <c r="AE773" s="532"/>
      <c r="AF773" s="532"/>
      <c r="AG773" s="532"/>
      <c r="AH773" s="532"/>
      <c r="AI773" s="532"/>
      <c r="AJ773" s="532"/>
      <c r="AK773" s="532"/>
      <c r="AL773" s="532"/>
    </row>
    <row r="774" spans="13:38" ht="12.95" customHeight="1" x14ac:dyDescent="0.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row>
    <row r="775" spans="13:38" ht="12.95" customHeight="1" x14ac:dyDescent="0.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row>
    <row r="776" spans="13:38" ht="12.95" customHeight="1" x14ac:dyDescent="0.2">
      <c r="M776" s="532"/>
      <c r="N776" s="532"/>
      <c r="O776" s="532"/>
      <c r="P776" s="532"/>
      <c r="Q776" s="532"/>
      <c r="R776" s="532"/>
      <c r="S776" s="532"/>
      <c r="T776" s="532"/>
      <c r="U776" s="532"/>
      <c r="V776" s="532"/>
      <c r="W776" s="532"/>
      <c r="X776" s="532"/>
      <c r="Y776" s="532"/>
      <c r="Z776" s="532"/>
      <c r="AA776" s="532"/>
      <c r="AB776" s="532"/>
      <c r="AC776" s="532"/>
      <c r="AD776" s="532"/>
      <c r="AE776" s="532"/>
      <c r="AF776" s="532"/>
      <c r="AG776" s="532"/>
      <c r="AH776" s="532"/>
      <c r="AI776" s="532"/>
      <c r="AJ776" s="532"/>
      <c r="AK776" s="532"/>
      <c r="AL776" s="532"/>
    </row>
    <row r="777" spans="13:38" ht="12.95" customHeight="1" x14ac:dyDescent="0.2">
      <c r="M777" s="532"/>
      <c r="N777" s="532"/>
      <c r="O777" s="532"/>
      <c r="P777" s="532"/>
      <c r="Q777" s="532"/>
      <c r="R777" s="532"/>
      <c r="S777" s="532"/>
      <c r="T777" s="532"/>
      <c r="U777" s="532"/>
      <c r="V777" s="532"/>
      <c r="W777" s="532"/>
      <c r="X777" s="532"/>
      <c r="Y777" s="532"/>
      <c r="Z777" s="532"/>
      <c r="AA777" s="532"/>
      <c r="AB777" s="532"/>
      <c r="AC777" s="532"/>
      <c r="AD777" s="532"/>
      <c r="AE777" s="532"/>
      <c r="AF777" s="532"/>
      <c r="AG777" s="532"/>
      <c r="AH777" s="532"/>
      <c r="AI777" s="532"/>
      <c r="AJ777" s="532"/>
      <c r="AK777" s="532"/>
      <c r="AL777" s="532"/>
    </row>
    <row r="778" spans="13:38" ht="12.95" customHeight="1" x14ac:dyDescent="0.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row>
    <row r="779" spans="13:38" ht="12.95" customHeight="1" x14ac:dyDescent="0.2">
      <c r="M779" s="532"/>
      <c r="N779" s="532"/>
      <c r="O779" s="532"/>
      <c r="P779" s="532"/>
      <c r="Q779" s="532"/>
      <c r="R779" s="532"/>
      <c r="S779" s="532"/>
      <c r="T779" s="532"/>
      <c r="U779" s="532"/>
      <c r="V779" s="532"/>
      <c r="W779" s="532"/>
      <c r="X779" s="532"/>
      <c r="Y779" s="532"/>
      <c r="Z779" s="532"/>
      <c r="AA779" s="532"/>
      <c r="AB779" s="532"/>
      <c r="AC779" s="532"/>
      <c r="AD779" s="532"/>
      <c r="AE779" s="532"/>
      <c r="AF779" s="532"/>
      <c r="AG779" s="532"/>
      <c r="AH779" s="532"/>
      <c r="AI779" s="532"/>
      <c r="AJ779" s="532"/>
      <c r="AK779" s="532"/>
      <c r="AL779" s="532"/>
    </row>
    <row r="780" spans="13:38" ht="12.95" customHeight="1" x14ac:dyDescent="0.2">
      <c r="M780" s="532"/>
      <c r="N780" s="532"/>
      <c r="O780" s="532"/>
      <c r="P780" s="532"/>
      <c r="Q780" s="532"/>
      <c r="R780" s="532"/>
      <c r="S780" s="532"/>
      <c r="T780" s="532"/>
      <c r="U780" s="532"/>
      <c r="V780" s="532"/>
      <c r="W780" s="532"/>
      <c r="X780" s="532"/>
      <c r="Y780" s="532"/>
      <c r="Z780" s="532"/>
      <c r="AA780" s="532"/>
      <c r="AB780" s="532"/>
      <c r="AC780" s="532"/>
      <c r="AD780" s="532"/>
      <c r="AE780" s="532"/>
      <c r="AF780" s="532"/>
      <c r="AG780" s="532"/>
      <c r="AH780" s="532"/>
      <c r="AI780" s="532"/>
      <c r="AJ780" s="532"/>
      <c r="AK780" s="532"/>
      <c r="AL780" s="532"/>
    </row>
    <row r="781" spans="13:38" ht="12.95" customHeight="1" x14ac:dyDescent="0.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row>
    <row r="782" spans="13:38" ht="12.95" customHeight="1" x14ac:dyDescent="0.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row>
    <row r="783" spans="13:38" ht="12.95" customHeight="1" x14ac:dyDescent="0.2">
      <c r="M783" s="532"/>
      <c r="N783" s="532"/>
      <c r="O783" s="532"/>
      <c r="P783" s="532"/>
      <c r="Q783" s="532"/>
      <c r="R783" s="532"/>
      <c r="S783" s="532"/>
      <c r="T783" s="532"/>
      <c r="U783" s="532"/>
      <c r="V783" s="532"/>
      <c r="W783" s="532"/>
      <c r="X783" s="532"/>
      <c r="Y783" s="532"/>
      <c r="Z783" s="532"/>
      <c r="AA783" s="532"/>
      <c r="AB783" s="532"/>
      <c r="AC783" s="532"/>
      <c r="AD783" s="532"/>
      <c r="AE783" s="532"/>
      <c r="AF783" s="532"/>
      <c r="AG783" s="532"/>
      <c r="AH783" s="532"/>
      <c r="AI783" s="532"/>
      <c r="AJ783" s="532"/>
      <c r="AK783" s="532"/>
      <c r="AL783" s="532"/>
    </row>
    <row r="784" spans="13:38" ht="12.95" customHeight="1" x14ac:dyDescent="0.2">
      <c r="M784" s="532"/>
      <c r="N784" s="532"/>
      <c r="O784" s="532"/>
      <c r="P784" s="532"/>
      <c r="Q784" s="532"/>
      <c r="R784" s="532"/>
      <c r="S784" s="532"/>
      <c r="T784" s="532"/>
      <c r="U784" s="532"/>
      <c r="V784" s="532"/>
      <c r="W784" s="532"/>
      <c r="X784" s="532"/>
      <c r="Y784" s="532"/>
      <c r="Z784" s="532"/>
      <c r="AA784" s="532"/>
      <c r="AB784" s="532"/>
      <c r="AC784" s="532"/>
      <c r="AD784" s="532"/>
      <c r="AE784" s="532"/>
      <c r="AF784" s="532"/>
      <c r="AG784" s="532"/>
      <c r="AH784" s="532"/>
      <c r="AI784" s="532"/>
      <c r="AJ784" s="532"/>
      <c r="AK784" s="532"/>
      <c r="AL784" s="532"/>
    </row>
    <row r="785" spans="13:38" ht="12.95" customHeight="1" x14ac:dyDescent="0.2">
      <c r="M785" s="532"/>
      <c r="N785" s="532"/>
      <c r="O785" s="532"/>
      <c r="P785" s="532"/>
      <c r="Q785" s="532"/>
      <c r="R785" s="532"/>
      <c r="S785" s="532"/>
      <c r="T785" s="532"/>
      <c r="U785" s="532"/>
      <c r="V785" s="532"/>
      <c r="W785" s="532"/>
      <c r="X785" s="532"/>
      <c r="Y785" s="532"/>
      <c r="Z785" s="532"/>
      <c r="AA785" s="532"/>
      <c r="AB785" s="532"/>
      <c r="AC785" s="532"/>
      <c r="AD785" s="532"/>
      <c r="AE785" s="532"/>
      <c r="AF785" s="532"/>
      <c r="AG785" s="532"/>
      <c r="AH785" s="532"/>
      <c r="AI785" s="532"/>
      <c r="AJ785" s="532"/>
      <c r="AK785" s="532"/>
      <c r="AL785" s="532"/>
    </row>
    <row r="786" spans="13:38" ht="12.95" customHeight="1" x14ac:dyDescent="0.2">
      <c r="M786" s="532"/>
      <c r="N786" s="532"/>
      <c r="O786" s="532"/>
      <c r="P786" s="532"/>
      <c r="Q786" s="532"/>
      <c r="R786" s="532"/>
      <c r="S786" s="532"/>
      <c r="T786" s="532"/>
      <c r="U786" s="532"/>
      <c r="V786" s="532"/>
      <c r="W786" s="532"/>
      <c r="X786" s="532"/>
      <c r="Y786" s="532"/>
      <c r="Z786" s="532"/>
      <c r="AA786" s="532"/>
      <c r="AB786" s="532"/>
      <c r="AC786" s="532"/>
      <c r="AD786" s="532"/>
      <c r="AE786" s="532"/>
      <c r="AF786" s="532"/>
      <c r="AG786" s="532"/>
      <c r="AH786" s="532"/>
      <c r="AI786" s="532"/>
      <c r="AJ786" s="532"/>
      <c r="AK786" s="532"/>
      <c r="AL786" s="532"/>
    </row>
    <row r="787" spans="13:38" ht="12.95" customHeight="1" x14ac:dyDescent="0.2">
      <c r="M787" s="532"/>
      <c r="N787" s="532"/>
      <c r="O787" s="532"/>
      <c r="P787" s="532"/>
      <c r="Q787" s="532"/>
      <c r="R787" s="532"/>
      <c r="S787" s="532"/>
      <c r="T787" s="532"/>
      <c r="U787" s="532"/>
      <c r="V787" s="532"/>
      <c r="W787" s="532"/>
      <c r="X787" s="532"/>
      <c r="Y787" s="532"/>
      <c r="Z787" s="532"/>
      <c r="AA787" s="532"/>
      <c r="AB787" s="532"/>
      <c r="AC787" s="532"/>
      <c r="AD787" s="532"/>
      <c r="AE787" s="532"/>
      <c r="AF787" s="532"/>
      <c r="AG787" s="532"/>
      <c r="AH787" s="532"/>
      <c r="AI787" s="532"/>
      <c r="AJ787" s="532"/>
      <c r="AK787" s="532"/>
      <c r="AL787" s="532"/>
    </row>
    <row r="788" spans="13:38" ht="12.95" customHeight="1" x14ac:dyDescent="0.2">
      <c r="M788" s="532"/>
      <c r="N788" s="532"/>
      <c r="O788" s="532"/>
      <c r="P788" s="532"/>
      <c r="Q788" s="532"/>
      <c r="R788" s="532"/>
      <c r="S788" s="532"/>
      <c r="T788" s="532"/>
      <c r="U788" s="532"/>
      <c r="V788" s="532"/>
      <c r="W788" s="532"/>
      <c r="X788" s="532"/>
      <c r="Y788" s="532"/>
      <c r="Z788" s="532"/>
      <c r="AA788" s="532"/>
      <c r="AB788" s="532"/>
      <c r="AC788" s="532"/>
      <c r="AD788" s="532"/>
      <c r="AE788" s="532"/>
      <c r="AF788" s="532"/>
      <c r="AG788" s="532"/>
      <c r="AH788" s="532"/>
      <c r="AI788" s="532"/>
      <c r="AJ788" s="532"/>
      <c r="AK788" s="532"/>
      <c r="AL788" s="532"/>
    </row>
    <row r="789" spans="13:38" ht="12.95" customHeight="1" x14ac:dyDescent="0.2">
      <c r="M789" s="532"/>
      <c r="N789" s="532"/>
      <c r="O789" s="532"/>
      <c r="P789" s="532"/>
      <c r="Q789" s="532"/>
      <c r="R789" s="532"/>
      <c r="S789" s="532"/>
      <c r="T789" s="532"/>
      <c r="U789" s="532"/>
      <c r="V789" s="532"/>
      <c r="W789" s="532"/>
      <c r="X789" s="532"/>
      <c r="Y789" s="532"/>
      <c r="Z789" s="532"/>
      <c r="AA789" s="532"/>
      <c r="AB789" s="532"/>
      <c r="AC789" s="532"/>
      <c r="AD789" s="532"/>
      <c r="AE789" s="532"/>
      <c r="AF789" s="532"/>
      <c r="AG789" s="532"/>
      <c r="AH789" s="532"/>
      <c r="AI789" s="532"/>
      <c r="AJ789" s="532"/>
      <c r="AK789" s="532"/>
      <c r="AL789" s="532"/>
    </row>
    <row r="790" spans="13:38" ht="12.95" customHeight="1" x14ac:dyDescent="0.2">
      <c r="M790" s="532"/>
      <c r="N790" s="532"/>
      <c r="O790" s="532"/>
      <c r="P790" s="532"/>
      <c r="Q790" s="532"/>
      <c r="R790" s="532"/>
      <c r="S790" s="532"/>
      <c r="T790" s="532"/>
      <c r="U790" s="532"/>
      <c r="V790" s="532"/>
      <c r="W790" s="532"/>
      <c r="X790" s="532"/>
      <c r="Y790" s="532"/>
      <c r="Z790" s="532"/>
      <c r="AA790" s="532"/>
      <c r="AB790" s="532"/>
      <c r="AC790" s="532"/>
      <c r="AD790" s="532"/>
      <c r="AE790" s="532"/>
      <c r="AF790" s="532"/>
      <c r="AG790" s="532"/>
      <c r="AH790" s="532"/>
      <c r="AI790" s="532"/>
      <c r="AJ790" s="532"/>
      <c r="AK790" s="532"/>
      <c r="AL790" s="532"/>
    </row>
    <row r="791" spans="13:38" ht="12.95" customHeight="1" x14ac:dyDescent="0.2">
      <c r="M791" s="532"/>
      <c r="N791" s="532"/>
      <c r="O791" s="532"/>
      <c r="P791" s="532"/>
      <c r="Q791" s="532"/>
      <c r="R791" s="532"/>
      <c r="S791" s="532"/>
      <c r="T791" s="532"/>
      <c r="U791" s="532"/>
      <c r="V791" s="532"/>
      <c r="W791" s="532"/>
      <c r="X791" s="532"/>
      <c r="Y791" s="532"/>
      <c r="Z791" s="532"/>
      <c r="AA791" s="532"/>
      <c r="AB791" s="532"/>
      <c r="AC791" s="532"/>
      <c r="AD791" s="532"/>
      <c r="AE791" s="532"/>
      <c r="AF791" s="532"/>
      <c r="AG791" s="532"/>
      <c r="AH791" s="532"/>
      <c r="AI791" s="532"/>
      <c r="AJ791" s="532"/>
      <c r="AK791" s="532"/>
      <c r="AL791" s="532"/>
    </row>
    <row r="792" spans="13:38" ht="12.95" customHeight="1" x14ac:dyDescent="0.2">
      <c r="M792" s="532"/>
      <c r="N792" s="532"/>
      <c r="O792" s="532"/>
      <c r="P792" s="532"/>
      <c r="Q792" s="532"/>
      <c r="R792" s="532"/>
      <c r="S792" s="532"/>
      <c r="T792" s="532"/>
      <c r="U792" s="532"/>
      <c r="V792" s="532"/>
      <c r="W792" s="532"/>
      <c r="X792" s="532"/>
      <c r="Y792" s="532"/>
      <c r="Z792" s="532"/>
      <c r="AA792" s="532"/>
      <c r="AB792" s="532"/>
      <c r="AC792" s="532"/>
      <c r="AD792" s="532"/>
      <c r="AE792" s="532"/>
      <c r="AF792" s="532"/>
      <c r="AG792" s="532"/>
      <c r="AH792" s="532"/>
      <c r="AI792" s="532"/>
      <c r="AJ792" s="532"/>
      <c r="AK792" s="532"/>
      <c r="AL792" s="532"/>
    </row>
    <row r="793" spans="13:38" ht="12.95" customHeight="1" x14ac:dyDescent="0.2">
      <c r="M793" s="532"/>
      <c r="N793" s="532"/>
      <c r="O793" s="532"/>
      <c r="P793" s="532"/>
      <c r="Q793" s="532"/>
      <c r="R793" s="532"/>
      <c r="S793" s="532"/>
      <c r="T793" s="532"/>
      <c r="U793" s="532"/>
      <c r="V793" s="532"/>
      <c r="W793" s="532"/>
      <c r="X793" s="532"/>
      <c r="Y793" s="532"/>
      <c r="Z793" s="532"/>
      <c r="AA793" s="532"/>
      <c r="AB793" s="532"/>
      <c r="AC793" s="532"/>
      <c r="AD793" s="532"/>
      <c r="AE793" s="532"/>
      <c r="AF793" s="532"/>
      <c r="AG793" s="532"/>
      <c r="AH793" s="532"/>
      <c r="AI793" s="532"/>
      <c r="AJ793" s="532"/>
      <c r="AK793" s="532"/>
      <c r="AL793" s="532"/>
    </row>
    <row r="794" spans="13:38" ht="12.95" customHeight="1" x14ac:dyDescent="0.2">
      <c r="M794" s="532"/>
      <c r="N794" s="532"/>
      <c r="O794" s="532"/>
      <c r="P794" s="532"/>
      <c r="Q794" s="532"/>
      <c r="R794" s="532"/>
      <c r="S794" s="532"/>
      <c r="T794" s="532"/>
      <c r="U794" s="532"/>
      <c r="V794" s="532"/>
      <c r="W794" s="532"/>
      <c r="X794" s="532"/>
      <c r="Y794" s="532"/>
      <c r="Z794" s="532"/>
      <c r="AA794" s="532"/>
      <c r="AB794" s="532"/>
      <c r="AC794" s="532"/>
      <c r="AD794" s="532"/>
      <c r="AE794" s="532"/>
      <c r="AF794" s="532"/>
      <c r="AG794" s="532"/>
      <c r="AH794" s="532"/>
      <c r="AI794" s="532"/>
      <c r="AJ794" s="532"/>
      <c r="AK794" s="532"/>
      <c r="AL794" s="532"/>
    </row>
    <row r="795" spans="13:38" ht="12.95" customHeight="1" x14ac:dyDescent="0.2">
      <c r="M795" s="532"/>
      <c r="N795" s="532"/>
      <c r="O795" s="532"/>
      <c r="P795" s="532"/>
      <c r="Q795" s="532"/>
      <c r="R795" s="532"/>
      <c r="S795" s="532"/>
      <c r="T795" s="532"/>
      <c r="U795" s="532"/>
      <c r="V795" s="532"/>
      <c r="W795" s="532"/>
      <c r="X795" s="532"/>
      <c r="Y795" s="532"/>
      <c r="Z795" s="532"/>
      <c r="AA795" s="532"/>
      <c r="AB795" s="532"/>
      <c r="AC795" s="532"/>
      <c r="AD795" s="532"/>
      <c r="AE795" s="532"/>
      <c r="AF795" s="532"/>
      <c r="AG795" s="532"/>
      <c r="AH795" s="532"/>
      <c r="AI795" s="532"/>
      <c r="AJ795" s="532"/>
      <c r="AK795" s="532"/>
      <c r="AL795" s="532"/>
    </row>
    <row r="796" spans="13:38" ht="12.95" customHeight="1" x14ac:dyDescent="0.2">
      <c r="M796" s="532"/>
      <c r="N796" s="532"/>
      <c r="O796" s="532"/>
      <c r="P796" s="532"/>
      <c r="Q796" s="532"/>
      <c r="R796" s="532"/>
      <c r="S796" s="532"/>
      <c r="T796" s="532"/>
      <c r="U796" s="532"/>
      <c r="V796" s="532"/>
      <c r="W796" s="532"/>
      <c r="X796" s="532"/>
      <c r="Y796" s="532"/>
      <c r="Z796" s="532"/>
      <c r="AA796" s="532"/>
      <c r="AB796" s="532"/>
      <c r="AC796" s="532"/>
      <c r="AD796" s="532"/>
      <c r="AE796" s="532"/>
      <c r="AF796" s="532"/>
      <c r="AG796" s="532"/>
      <c r="AH796" s="532"/>
      <c r="AI796" s="532"/>
      <c r="AJ796" s="532"/>
      <c r="AK796" s="532"/>
      <c r="AL796" s="532"/>
    </row>
    <row r="797" spans="13:38" ht="12.95" customHeight="1" x14ac:dyDescent="0.2">
      <c r="M797" s="532"/>
      <c r="N797" s="532"/>
      <c r="O797" s="532"/>
      <c r="P797" s="532"/>
      <c r="Q797" s="532"/>
      <c r="R797" s="532"/>
      <c r="S797" s="532"/>
      <c r="T797" s="532"/>
      <c r="U797" s="532"/>
      <c r="V797" s="532"/>
      <c r="W797" s="532"/>
      <c r="X797" s="532"/>
      <c r="Y797" s="532"/>
      <c r="Z797" s="532"/>
      <c r="AA797" s="532"/>
      <c r="AB797" s="532"/>
      <c r="AC797" s="532"/>
      <c r="AD797" s="532"/>
      <c r="AE797" s="532"/>
      <c r="AF797" s="532"/>
      <c r="AG797" s="532"/>
      <c r="AH797" s="532"/>
      <c r="AI797" s="532"/>
      <c r="AJ797" s="532"/>
      <c r="AK797" s="532"/>
      <c r="AL797" s="532"/>
    </row>
    <row r="798" spans="13:38" ht="12.95" customHeight="1" x14ac:dyDescent="0.2">
      <c r="M798" s="532"/>
      <c r="N798" s="532"/>
      <c r="O798" s="532"/>
      <c r="P798" s="532"/>
      <c r="Q798" s="532"/>
      <c r="R798" s="532"/>
      <c r="S798" s="532"/>
      <c r="T798" s="532"/>
      <c r="U798" s="532"/>
      <c r="V798" s="532"/>
      <c r="W798" s="532"/>
      <c r="X798" s="532"/>
      <c r="Y798" s="532"/>
      <c r="Z798" s="532"/>
      <c r="AA798" s="532"/>
      <c r="AB798" s="532"/>
      <c r="AC798" s="532"/>
      <c r="AD798" s="532"/>
      <c r="AE798" s="532"/>
      <c r="AF798" s="532"/>
      <c r="AG798" s="532"/>
      <c r="AH798" s="532"/>
      <c r="AI798" s="532"/>
      <c r="AJ798" s="532"/>
      <c r="AK798" s="532"/>
      <c r="AL798" s="532"/>
    </row>
    <row r="799" spans="13:38" ht="12.95" customHeight="1" x14ac:dyDescent="0.2">
      <c r="M799" s="532"/>
      <c r="N799" s="532"/>
      <c r="O799" s="532"/>
      <c r="P799" s="532"/>
      <c r="Q799" s="532"/>
      <c r="R799" s="532"/>
      <c r="S799" s="532"/>
      <c r="T799" s="532"/>
      <c r="U799" s="532"/>
      <c r="V799" s="532"/>
      <c r="W799" s="532"/>
      <c r="X799" s="532"/>
      <c r="Y799" s="532"/>
      <c r="Z799" s="532"/>
      <c r="AA799" s="532"/>
      <c r="AB799" s="532"/>
      <c r="AC799" s="532"/>
      <c r="AD799" s="532"/>
      <c r="AE799" s="532"/>
      <c r="AF799" s="532"/>
      <c r="AG799" s="532"/>
      <c r="AH799" s="532"/>
      <c r="AI799" s="532"/>
      <c r="AJ799" s="532"/>
      <c r="AK799" s="532"/>
      <c r="AL799" s="532"/>
    </row>
    <row r="800" spans="13:38" ht="12.95" customHeight="1" x14ac:dyDescent="0.2">
      <c r="M800" s="532"/>
      <c r="N800" s="532"/>
      <c r="O800" s="532"/>
      <c r="P800" s="532"/>
      <c r="Q800" s="532"/>
      <c r="R800" s="532"/>
      <c r="S800" s="532"/>
      <c r="T800" s="532"/>
      <c r="U800" s="532"/>
      <c r="V800" s="532"/>
      <c r="W800" s="532"/>
      <c r="X800" s="532"/>
      <c r="Y800" s="532"/>
      <c r="Z800" s="532"/>
      <c r="AA800" s="532"/>
      <c r="AB800" s="532"/>
      <c r="AC800" s="532"/>
      <c r="AD800" s="532"/>
      <c r="AE800" s="532"/>
      <c r="AF800" s="532"/>
      <c r="AG800" s="532"/>
      <c r="AH800" s="532"/>
      <c r="AI800" s="532"/>
      <c r="AJ800" s="532"/>
      <c r="AK800" s="532"/>
      <c r="AL800" s="532"/>
    </row>
    <row r="801" spans="13:38" ht="12.95" customHeight="1" x14ac:dyDescent="0.2">
      <c r="M801" s="532"/>
      <c r="N801" s="532"/>
      <c r="O801" s="532"/>
      <c r="P801" s="532"/>
      <c r="Q801" s="532"/>
      <c r="R801" s="532"/>
      <c r="S801" s="532"/>
      <c r="T801" s="532"/>
      <c r="U801" s="532"/>
      <c r="V801" s="532"/>
      <c r="W801" s="532"/>
      <c r="X801" s="532"/>
      <c r="Y801" s="532"/>
      <c r="Z801" s="532"/>
      <c r="AA801" s="532"/>
      <c r="AB801" s="532"/>
      <c r="AC801" s="532"/>
      <c r="AD801" s="532"/>
      <c r="AE801" s="532"/>
      <c r="AF801" s="532"/>
      <c r="AG801" s="532"/>
      <c r="AH801" s="532"/>
      <c r="AI801" s="532"/>
      <c r="AJ801" s="532"/>
      <c r="AK801" s="532"/>
      <c r="AL801" s="532"/>
    </row>
    <row r="802" spans="13:38" ht="12.95" customHeight="1" x14ac:dyDescent="0.2">
      <c r="M802" s="532"/>
      <c r="N802" s="532"/>
      <c r="O802" s="532"/>
      <c r="P802" s="532"/>
      <c r="Q802" s="532"/>
      <c r="R802" s="532"/>
      <c r="S802" s="532"/>
      <c r="T802" s="532"/>
      <c r="U802" s="532"/>
      <c r="V802" s="532"/>
      <c r="W802" s="532"/>
      <c r="X802" s="532"/>
      <c r="Y802" s="532"/>
      <c r="Z802" s="532"/>
      <c r="AA802" s="532"/>
      <c r="AB802" s="532"/>
      <c r="AC802" s="532"/>
      <c r="AD802" s="532"/>
      <c r="AE802" s="532"/>
      <c r="AF802" s="532"/>
      <c r="AG802" s="532"/>
      <c r="AH802" s="532"/>
      <c r="AI802" s="532"/>
      <c r="AJ802" s="532"/>
      <c r="AK802" s="532"/>
      <c r="AL802" s="532"/>
    </row>
    <row r="803" spans="13:38" ht="12.95" customHeight="1" x14ac:dyDescent="0.2">
      <c r="M803" s="532"/>
      <c r="N803" s="532"/>
      <c r="O803" s="532"/>
      <c r="P803" s="532"/>
      <c r="Q803" s="532"/>
      <c r="R803" s="532"/>
      <c r="S803" s="532"/>
      <c r="T803" s="532"/>
      <c r="U803" s="532"/>
      <c r="V803" s="532"/>
      <c r="W803" s="532"/>
      <c r="X803" s="532"/>
      <c r="Y803" s="532"/>
      <c r="Z803" s="532"/>
      <c r="AA803" s="532"/>
      <c r="AB803" s="532"/>
      <c r="AC803" s="532"/>
      <c r="AD803" s="532"/>
      <c r="AE803" s="532"/>
      <c r="AF803" s="532"/>
      <c r="AG803" s="532"/>
      <c r="AH803" s="532"/>
      <c r="AI803" s="532"/>
      <c r="AJ803" s="532"/>
      <c r="AK803" s="532"/>
      <c r="AL803" s="532"/>
    </row>
    <row r="804" spans="13:38" ht="12.95" customHeight="1" x14ac:dyDescent="0.2">
      <c r="M804" s="532"/>
      <c r="N804" s="532"/>
      <c r="O804" s="532"/>
      <c r="P804" s="532"/>
      <c r="Q804" s="532"/>
      <c r="R804" s="532"/>
      <c r="S804" s="532"/>
      <c r="T804" s="532"/>
      <c r="U804" s="532"/>
      <c r="V804" s="532"/>
      <c r="W804" s="532"/>
      <c r="X804" s="532"/>
      <c r="Y804" s="532"/>
      <c r="Z804" s="532"/>
      <c r="AA804" s="532"/>
      <c r="AB804" s="532"/>
      <c r="AC804" s="532"/>
      <c r="AD804" s="532"/>
      <c r="AE804" s="532"/>
      <c r="AF804" s="532"/>
      <c r="AG804" s="532"/>
      <c r="AH804" s="532"/>
      <c r="AI804" s="532"/>
      <c r="AJ804" s="532"/>
      <c r="AK804" s="532"/>
      <c r="AL804" s="532"/>
    </row>
    <row r="805" spans="13:38" ht="12.95" customHeight="1" x14ac:dyDescent="0.2">
      <c r="M805" s="532"/>
      <c r="N805" s="532"/>
      <c r="O805" s="532"/>
      <c r="P805" s="532"/>
      <c r="Q805" s="532"/>
      <c r="R805" s="532"/>
      <c r="S805" s="532"/>
      <c r="T805" s="532"/>
      <c r="U805" s="532"/>
      <c r="V805" s="532"/>
      <c r="W805" s="532"/>
      <c r="X805" s="532"/>
      <c r="Y805" s="532"/>
      <c r="Z805" s="532"/>
      <c r="AA805" s="532"/>
      <c r="AB805" s="532"/>
      <c r="AC805" s="532"/>
      <c r="AD805" s="532"/>
      <c r="AE805" s="532"/>
      <c r="AF805" s="532"/>
      <c r="AG805" s="532"/>
      <c r="AH805" s="532"/>
      <c r="AI805" s="532"/>
      <c r="AJ805" s="532"/>
      <c r="AK805" s="532"/>
      <c r="AL805" s="532"/>
    </row>
    <row r="806" spans="13:38" ht="12.95" customHeight="1" x14ac:dyDescent="0.2">
      <c r="M806" s="532"/>
      <c r="N806" s="532"/>
      <c r="O806" s="532"/>
      <c r="P806" s="532"/>
      <c r="Q806" s="532"/>
      <c r="R806" s="532"/>
      <c r="S806" s="532"/>
      <c r="T806" s="532"/>
      <c r="U806" s="532"/>
      <c r="V806" s="532"/>
      <c r="W806" s="532"/>
      <c r="X806" s="532"/>
      <c r="Y806" s="532"/>
      <c r="Z806" s="532"/>
      <c r="AA806" s="532"/>
      <c r="AB806" s="532"/>
      <c r="AC806" s="532"/>
      <c r="AD806" s="532"/>
      <c r="AE806" s="532"/>
      <c r="AF806" s="532"/>
      <c r="AG806" s="532"/>
      <c r="AH806" s="532"/>
      <c r="AI806" s="532"/>
      <c r="AJ806" s="532"/>
      <c r="AK806" s="532"/>
      <c r="AL806" s="532"/>
    </row>
    <row r="807" spans="13:38" ht="12.95" customHeight="1" x14ac:dyDescent="0.2">
      <c r="M807" s="532"/>
      <c r="N807" s="532"/>
      <c r="O807" s="532"/>
      <c r="P807" s="532"/>
      <c r="Q807" s="532"/>
      <c r="R807" s="532"/>
      <c r="S807" s="532"/>
      <c r="T807" s="532"/>
      <c r="U807" s="532"/>
      <c r="V807" s="532"/>
      <c r="W807" s="532"/>
      <c r="X807" s="532"/>
      <c r="Y807" s="532"/>
      <c r="Z807" s="532"/>
      <c r="AA807" s="532"/>
      <c r="AB807" s="532"/>
      <c r="AC807" s="532"/>
      <c r="AD807" s="532"/>
      <c r="AE807" s="532"/>
      <c r="AF807" s="532"/>
      <c r="AG807" s="532"/>
      <c r="AH807" s="532"/>
      <c r="AI807" s="532"/>
      <c r="AJ807" s="532"/>
      <c r="AK807" s="532"/>
      <c r="AL807" s="532"/>
    </row>
    <row r="808" spans="13:38" ht="12.95" customHeight="1" x14ac:dyDescent="0.2">
      <c r="M808" s="532"/>
      <c r="N808" s="532"/>
      <c r="O808" s="532"/>
      <c r="P808" s="532"/>
      <c r="Q808" s="532"/>
      <c r="R808" s="532"/>
      <c r="S808" s="532"/>
      <c r="T808" s="532"/>
      <c r="U808" s="532"/>
      <c r="V808" s="532"/>
      <c r="W808" s="532"/>
      <c r="X808" s="532"/>
      <c r="Y808" s="532"/>
      <c r="Z808" s="532"/>
      <c r="AA808" s="532"/>
      <c r="AB808" s="532"/>
      <c r="AC808" s="532"/>
      <c r="AD808" s="532"/>
      <c r="AE808" s="532"/>
      <c r="AF808" s="532"/>
      <c r="AG808" s="532"/>
      <c r="AH808" s="532"/>
      <c r="AI808" s="532"/>
      <c r="AJ808" s="532"/>
      <c r="AK808" s="532"/>
      <c r="AL808" s="532"/>
    </row>
    <row r="809" spans="13:38" ht="12.95" customHeight="1" x14ac:dyDescent="0.2">
      <c r="M809" s="532"/>
      <c r="N809" s="532"/>
      <c r="O809" s="532"/>
      <c r="P809" s="532"/>
      <c r="Q809" s="532"/>
      <c r="R809" s="532"/>
      <c r="S809" s="532"/>
      <c r="T809" s="532"/>
      <c r="U809" s="532"/>
      <c r="V809" s="532"/>
      <c r="W809" s="532"/>
      <c r="X809" s="532"/>
      <c r="Y809" s="532"/>
      <c r="Z809" s="532"/>
      <c r="AA809" s="532"/>
      <c r="AB809" s="532"/>
      <c r="AC809" s="532"/>
      <c r="AD809" s="532"/>
      <c r="AE809" s="532"/>
      <c r="AF809" s="532"/>
      <c r="AG809" s="532"/>
      <c r="AH809" s="532"/>
      <c r="AI809" s="532"/>
      <c r="AJ809" s="532"/>
      <c r="AK809" s="532"/>
      <c r="AL809" s="532"/>
    </row>
    <row r="810" spans="13:38" ht="12.95" customHeight="1" x14ac:dyDescent="0.2">
      <c r="M810" s="532"/>
      <c r="N810" s="532"/>
      <c r="O810" s="532"/>
      <c r="P810" s="532"/>
      <c r="Q810" s="532"/>
      <c r="R810" s="532"/>
      <c r="S810" s="532"/>
      <c r="T810" s="532"/>
      <c r="U810" s="532"/>
      <c r="V810" s="532"/>
      <c r="W810" s="532"/>
      <c r="X810" s="532"/>
      <c r="Y810" s="532"/>
      <c r="Z810" s="532"/>
      <c r="AA810" s="532"/>
      <c r="AB810" s="532"/>
      <c r="AC810" s="532"/>
      <c r="AD810" s="532"/>
      <c r="AE810" s="532"/>
      <c r="AF810" s="532"/>
      <c r="AG810" s="532"/>
      <c r="AH810" s="532"/>
      <c r="AI810" s="532"/>
      <c r="AJ810" s="532"/>
      <c r="AK810" s="532"/>
      <c r="AL810" s="532"/>
    </row>
    <row r="811" spans="13:38" ht="12.95" customHeight="1" x14ac:dyDescent="0.2">
      <c r="M811" s="532"/>
      <c r="N811" s="532"/>
      <c r="O811" s="532"/>
      <c r="P811" s="532"/>
      <c r="Q811" s="532"/>
      <c r="R811" s="532"/>
      <c r="S811" s="532"/>
      <c r="T811" s="532"/>
      <c r="U811" s="532"/>
      <c r="V811" s="532"/>
      <c r="W811" s="532"/>
      <c r="X811" s="532"/>
      <c r="Y811" s="532"/>
      <c r="Z811" s="532"/>
      <c r="AA811" s="532"/>
      <c r="AB811" s="532"/>
      <c r="AC811" s="532"/>
      <c r="AD811" s="532"/>
      <c r="AE811" s="532"/>
      <c r="AF811" s="532"/>
      <c r="AG811" s="532"/>
      <c r="AH811" s="532"/>
      <c r="AI811" s="532"/>
      <c r="AJ811" s="532"/>
      <c r="AK811" s="532"/>
      <c r="AL811" s="532"/>
    </row>
    <row r="812" spans="13:38" ht="12.95" customHeight="1" x14ac:dyDescent="0.2">
      <c r="M812" s="532"/>
      <c r="N812" s="532"/>
      <c r="O812" s="532"/>
      <c r="P812" s="532"/>
      <c r="Q812" s="532"/>
      <c r="R812" s="532"/>
      <c r="S812" s="532"/>
      <c r="T812" s="532"/>
      <c r="U812" s="532"/>
      <c r="V812" s="532"/>
      <c r="W812" s="532"/>
      <c r="X812" s="532"/>
      <c r="Y812" s="532"/>
      <c r="Z812" s="532"/>
      <c r="AA812" s="532"/>
      <c r="AB812" s="532"/>
      <c r="AC812" s="532"/>
      <c r="AD812" s="532"/>
      <c r="AE812" s="532"/>
      <c r="AF812" s="532"/>
      <c r="AG812" s="532"/>
      <c r="AH812" s="532"/>
      <c r="AI812" s="532"/>
      <c r="AJ812" s="532"/>
      <c r="AK812" s="532"/>
      <c r="AL812" s="532"/>
    </row>
    <row r="813" spans="13:38" ht="12.95" customHeight="1" x14ac:dyDescent="0.2">
      <c r="M813" s="532"/>
      <c r="N813" s="532"/>
      <c r="O813" s="532"/>
      <c r="P813" s="532"/>
      <c r="Q813" s="532"/>
      <c r="R813" s="532"/>
      <c r="S813" s="532"/>
      <c r="T813" s="532"/>
      <c r="U813" s="532"/>
      <c r="V813" s="532"/>
      <c r="W813" s="532"/>
      <c r="X813" s="532"/>
      <c r="Y813" s="532"/>
      <c r="Z813" s="532"/>
      <c r="AA813" s="532"/>
      <c r="AB813" s="532"/>
      <c r="AC813" s="532"/>
      <c r="AD813" s="532"/>
      <c r="AE813" s="532"/>
      <c r="AF813" s="532"/>
      <c r="AG813" s="532"/>
      <c r="AH813" s="532"/>
      <c r="AI813" s="532"/>
      <c r="AJ813" s="532"/>
      <c r="AK813" s="532"/>
      <c r="AL813" s="532"/>
    </row>
    <row r="814" spans="13:38" ht="12.95" customHeight="1" x14ac:dyDescent="0.2">
      <c r="M814" s="532"/>
      <c r="N814" s="532"/>
      <c r="O814" s="532"/>
      <c r="P814" s="532"/>
      <c r="Q814" s="532"/>
      <c r="R814" s="532"/>
      <c r="S814" s="532"/>
      <c r="T814" s="532"/>
      <c r="U814" s="532"/>
      <c r="V814" s="532"/>
      <c r="W814" s="532"/>
      <c r="X814" s="532"/>
      <c r="Y814" s="532"/>
      <c r="Z814" s="532"/>
      <c r="AA814" s="532"/>
      <c r="AB814" s="532"/>
      <c r="AC814" s="532"/>
      <c r="AD814" s="532"/>
      <c r="AE814" s="532"/>
      <c r="AF814" s="532"/>
      <c r="AG814" s="532"/>
      <c r="AH814" s="532"/>
      <c r="AI814" s="532"/>
      <c r="AJ814" s="532"/>
      <c r="AK814" s="532"/>
      <c r="AL814" s="532"/>
    </row>
    <row r="815" spans="13:38" ht="12.95" customHeight="1" x14ac:dyDescent="0.2">
      <c r="M815" s="532"/>
      <c r="N815" s="532"/>
      <c r="O815" s="532"/>
      <c r="P815" s="532"/>
      <c r="Q815" s="532"/>
      <c r="R815" s="532"/>
      <c r="S815" s="532"/>
      <c r="T815" s="532"/>
      <c r="U815" s="532"/>
      <c r="V815" s="532"/>
      <c r="W815" s="532"/>
      <c r="X815" s="532"/>
      <c r="Y815" s="532"/>
      <c r="Z815" s="532"/>
      <c r="AA815" s="532"/>
      <c r="AB815" s="532"/>
      <c r="AC815" s="532"/>
      <c r="AD815" s="532"/>
      <c r="AE815" s="532"/>
      <c r="AF815" s="532"/>
      <c r="AG815" s="532"/>
      <c r="AH815" s="532"/>
      <c r="AI815" s="532"/>
      <c r="AJ815" s="532"/>
      <c r="AK815" s="532"/>
      <c r="AL815" s="532"/>
    </row>
    <row r="816" spans="13:38" ht="12.95" customHeight="1" x14ac:dyDescent="0.2">
      <c r="M816" s="532"/>
      <c r="N816" s="532"/>
      <c r="O816" s="532"/>
      <c r="P816" s="532"/>
      <c r="Q816" s="532"/>
      <c r="R816" s="532"/>
      <c r="S816" s="532"/>
      <c r="T816" s="532"/>
      <c r="U816" s="532"/>
      <c r="V816" s="532"/>
      <c r="W816" s="532"/>
      <c r="X816" s="532"/>
      <c r="Y816" s="532"/>
      <c r="Z816" s="532"/>
      <c r="AA816" s="532"/>
      <c r="AB816" s="532"/>
      <c r="AC816" s="532"/>
      <c r="AD816" s="532"/>
      <c r="AE816" s="532"/>
      <c r="AF816" s="532"/>
      <c r="AG816" s="532"/>
      <c r="AH816" s="532"/>
      <c r="AI816" s="532"/>
      <c r="AJ816" s="532"/>
      <c r="AK816" s="532"/>
      <c r="AL816" s="532"/>
    </row>
    <row r="817" spans="13:38" ht="12.95" customHeight="1" x14ac:dyDescent="0.2">
      <c r="M817" s="532"/>
      <c r="N817" s="532"/>
      <c r="O817" s="532"/>
      <c r="P817" s="532"/>
      <c r="Q817" s="532"/>
      <c r="R817" s="532"/>
      <c r="S817" s="532"/>
      <c r="T817" s="532"/>
      <c r="U817" s="532"/>
      <c r="V817" s="532"/>
      <c r="W817" s="532"/>
      <c r="X817" s="532"/>
      <c r="Y817" s="532"/>
      <c r="Z817" s="532"/>
      <c r="AA817" s="532"/>
      <c r="AB817" s="532"/>
      <c r="AC817" s="532"/>
      <c r="AD817" s="532"/>
      <c r="AE817" s="532"/>
      <c r="AF817" s="532"/>
      <c r="AG817" s="532"/>
      <c r="AH817" s="532"/>
      <c r="AI817" s="532"/>
      <c r="AJ817" s="532"/>
      <c r="AK817" s="532"/>
      <c r="AL817" s="532"/>
    </row>
    <row r="818" spans="13:38" ht="12.95" customHeight="1" x14ac:dyDescent="0.2">
      <c r="M818" s="532"/>
      <c r="N818" s="532"/>
      <c r="O818" s="532"/>
      <c r="P818" s="532"/>
      <c r="Q818" s="532"/>
      <c r="R818" s="532"/>
      <c r="S818" s="532"/>
      <c r="T818" s="532"/>
      <c r="U818" s="532"/>
      <c r="V818" s="532"/>
      <c r="W818" s="532"/>
      <c r="X818" s="532"/>
      <c r="Y818" s="532"/>
      <c r="Z818" s="532"/>
      <c r="AA818" s="532"/>
      <c r="AB818" s="532"/>
      <c r="AC818" s="532"/>
      <c r="AD818" s="532"/>
      <c r="AE818" s="532"/>
      <c r="AF818" s="532"/>
      <c r="AG818" s="532"/>
      <c r="AH818" s="532"/>
      <c r="AI818" s="532"/>
      <c r="AJ818" s="532"/>
      <c r="AK818" s="532"/>
      <c r="AL818" s="532"/>
    </row>
    <row r="819" spans="13:38" ht="12.95" customHeight="1" x14ac:dyDescent="0.2">
      <c r="M819" s="532"/>
      <c r="N819" s="532"/>
      <c r="O819" s="532"/>
      <c r="P819" s="532"/>
      <c r="Q819" s="532"/>
      <c r="R819" s="532"/>
      <c r="S819" s="532"/>
      <c r="T819" s="532"/>
      <c r="U819" s="532"/>
      <c r="V819" s="532"/>
      <c r="W819" s="532"/>
      <c r="X819" s="532"/>
      <c r="Y819" s="532"/>
      <c r="Z819" s="532"/>
      <c r="AA819" s="532"/>
      <c r="AB819" s="532"/>
      <c r="AC819" s="532"/>
      <c r="AD819" s="532"/>
      <c r="AE819" s="532"/>
      <c r="AF819" s="532"/>
      <c r="AG819" s="532"/>
      <c r="AH819" s="532"/>
      <c r="AI819" s="532"/>
      <c r="AJ819" s="532"/>
      <c r="AK819" s="532"/>
      <c r="AL819" s="532"/>
    </row>
    <row r="820" spans="13:38" ht="12.95" customHeight="1" x14ac:dyDescent="0.2">
      <c r="M820" s="532"/>
      <c r="N820" s="532"/>
      <c r="O820" s="532"/>
      <c r="P820" s="532"/>
      <c r="Q820" s="532"/>
      <c r="R820" s="532"/>
      <c r="S820" s="532"/>
      <c r="T820" s="532"/>
      <c r="U820" s="532"/>
      <c r="V820" s="532"/>
      <c r="W820" s="532"/>
      <c r="X820" s="532"/>
      <c r="Y820" s="532"/>
      <c r="Z820" s="532"/>
      <c r="AA820" s="532"/>
      <c r="AB820" s="532"/>
      <c r="AC820" s="532"/>
      <c r="AD820" s="532"/>
      <c r="AE820" s="532"/>
      <c r="AF820" s="532"/>
      <c r="AG820" s="532"/>
      <c r="AH820" s="532"/>
      <c r="AI820" s="532"/>
      <c r="AJ820" s="532"/>
      <c r="AK820" s="532"/>
      <c r="AL820" s="532"/>
    </row>
    <row r="821" spans="13:38" ht="12.95" customHeight="1" x14ac:dyDescent="0.2">
      <c r="M821" s="532"/>
      <c r="N821" s="532"/>
      <c r="O821" s="532"/>
      <c r="P821" s="532"/>
      <c r="Q821" s="532"/>
      <c r="R821" s="532"/>
      <c r="S821" s="532"/>
      <c r="T821" s="532"/>
      <c r="U821" s="532"/>
      <c r="V821" s="532"/>
      <c r="W821" s="532"/>
      <c r="X821" s="532"/>
      <c r="Y821" s="532"/>
      <c r="Z821" s="532"/>
      <c r="AA821" s="532"/>
      <c r="AB821" s="532"/>
      <c r="AC821" s="532"/>
      <c r="AD821" s="532"/>
      <c r="AE821" s="532"/>
      <c r="AF821" s="532"/>
      <c r="AG821" s="532"/>
      <c r="AH821" s="532"/>
      <c r="AI821" s="532"/>
      <c r="AJ821" s="532"/>
      <c r="AK821" s="532"/>
      <c r="AL821" s="532"/>
    </row>
    <row r="822" spans="13:38" ht="12.95" customHeight="1" x14ac:dyDescent="0.2">
      <c r="M822" s="532"/>
      <c r="N822" s="532"/>
      <c r="O822" s="532"/>
      <c r="P822" s="532"/>
      <c r="Q822" s="532"/>
      <c r="R822" s="532"/>
      <c r="S822" s="532"/>
      <c r="T822" s="532"/>
      <c r="U822" s="532"/>
      <c r="V822" s="532"/>
      <c r="W822" s="532"/>
      <c r="X822" s="532"/>
      <c r="Y822" s="532"/>
      <c r="Z822" s="532"/>
      <c r="AA822" s="532"/>
      <c r="AB822" s="532"/>
      <c r="AC822" s="532"/>
      <c r="AD822" s="532"/>
      <c r="AE822" s="532"/>
      <c r="AF822" s="532"/>
      <c r="AG822" s="532"/>
      <c r="AH822" s="532"/>
      <c r="AI822" s="532"/>
      <c r="AJ822" s="532"/>
      <c r="AK822" s="532"/>
      <c r="AL822" s="532"/>
    </row>
    <row r="823" spans="13:38" ht="12.95" customHeight="1" x14ac:dyDescent="0.2">
      <c r="M823" s="532"/>
      <c r="N823" s="532"/>
      <c r="O823" s="532"/>
      <c r="P823" s="532"/>
      <c r="Q823" s="532"/>
      <c r="R823" s="532"/>
      <c r="S823" s="532"/>
      <c r="T823" s="532"/>
      <c r="U823" s="532"/>
      <c r="V823" s="532"/>
      <c r="W823" s="532"/>
      <c r="X823" s="532"/>
      <c r="Y823" s="532"/>
      <c r="Z823" s="532"/>
      <c r="AA823" s="532"/>
      <c r="AB823" s="532"/>
      <c r="AC823" s="532"/>
      <c r="AD823" s="532"/>
      <c r="AE823" s="532"/>
      <c r="AF823" s="532"/>
      <c r="AG823" s="532"/>
      <c r="AH823" s="532"/>
      <c r="AI823" s="532"/>
      <c r="AJ823" s="532"/>
      <c r="AK823" s="532"/>
      <c r="AL823" s="532"/>
    </row>
    <row r="824" spans="13:38" ht="12.95" customHeight="1" x14ac:dyDescent="0.2">
      <c r="M824" s="532"/>
      <c r="N824" s="532"/>
      <c r="O824" s="532"/>
      <c r="P824" s="532"/>
      <c r="Q824" s="532"/>
      <c r="R824" s="532"/>
      <c r="S824" s="532"/>
      <c r="T824" s="532"/>
      <c r="U824" s="532"/>
      <c r="V824" s="532"/>
      <c r="W824" s="532"/>
      <c r="X824" s="532"/>
      <c r="Y824" s="532"/>
      <c r="Z824" s="532"/>
      <c r="AA824" s="532"/>
      <c r="AB824" s="532"/>
      <c r="AC824" s="532"/>
      <c r="AD824" s="532"/>
      <c r="AE824" s="532"/>
      <c r="AF824" s="532"/>
      <c r="AG824" s="532"/>
      <c r="AH824" s="532"/>
      <c r="AI824" s="532"/>
      <c r="AJ824" s="532"/>
      <c r="AK824" s="532"/>
      <c r="AL824" s="532"/>
    </row>
    <row r="825" spans="13:38" ht="12.95" customHeight="1" x14ac:dyDescent="0.2">
      <c r="M825" s="532"/>
      <c r="N825" s="532"/>
      <c r="O825" s="532"/>
      <c r="P825" s="532"/>
      <c r="Q825" s="532"/>
      <c r="R825" s="532"/>
      <c r="S825" s="532"/>
      <c r="T825" s="532"/>
      <c r="U825" s="532"/>
      <c r="V825" s="532"/>
      <c r="W825" s="532"/>
      <c r="X825" s="532"/>
      <c r="Y825" s="532"/>
      <c r="Z825" s="532"/>
      <c r="AA825" s="532"/>
      <c r="AB825" s="532"/>
      <c r="AC825" s="532"/>
      <c r="AD825" s="532"/>
      <c r="AE825" s="532"/>
      <c r="AF825" s="532"/>
      <c r="AG825" s="532"/>
      <c r="AH825" s="532"/>
      <c r="AI825" s="532"/>
      <c r="AJ825" s="532"/>
      <c r="AK825" s="532"/>
      <c r="AL825" s="532"/>
    </row>
    <row r="826" spans="13:38" ht="12.95" customHeight="1" x14ac:dyDescent="0.2">
      <c r="M826" s="532"/>
      <c r="N826" s="532"/>
      <c r="O826" s="532"/>
      <c r="P826" s="532"/>
      <c r="Q826" s="532"/>
      <c r="R826" s="532"/>
      <c r="S826" s="532"/>
      <c r="T826" s="532"/>
      <c r="U826" s="532"/>
      <c r="V826" s="532"/>
      <c r="W826" s="532"/>
      <c r="X826" s="532"/>
      <c r="Y826" s="532"/>
      <c r="Z826" s="532"/>
      <c r="AA826" s="532"/>
      <c r="AB826" s="532"/>
      <c r="AC826" s="532"/>
      <c r="AD826" s="532"/>
      <c r="AE826" s="532"/>
      <c r="AF826" s="532"/>
      <c r="AG826" s="532"/>
      <c r="AH826" s="532"/>
      <c r="AI826" s="532"/>
      <c r="AJ826" s="532"/>
      <c r="AK826" s="532"/>
      <c r="AL826" s="532"/>
    </row>
    <row r="827" spans="13:38" ht="12.95" customHeight="1" x14ac:dyDescent="0.2">
      <c r="M827" s="532"/>
      <c r="N827" s="532"/>
      <c r="O827" s="532"/>
      <c r="P827" s="532"/>
      <c r="Q827" s="532"/>
      <c r="R827" s="532"/>
      <c r="S827" s="532"/>
      <c r="T827" s="532"/>
      <c r="U827" s="532"/>
      <c r="V827" s="532"/>
      <c r="W827" s="532"/>
      <c r="X827" s="532"/>
      <c r="Y827" s="532"/>
      <c r="Z827" s="532"/>
      <c r="AA827" s="532"/>
      <c r="AB827" s="532"/>
      <c r="AC827" s="532"/>
      <c r="AD827" s="532"/>
      <c r="AE827" s="532"/>
      <c r="AF827" s="532"/>
      <c r="AG827" s="532"/>
      <c r="AH827" s="532"/>
      <c r="AI827" s="532"/>
      <c r="AJ827" s="532"/>
      <c r="AK827" s="532"/>
      <c r="AL827" s="532"/>
    </row>
    <row r="828" spans="13:38" ht="12.95" customHeight="1" x14ac:dyDescent="0.2">
      <c r="M828" s="532"/>
      <c r="N828" s="532"/>
      <c r="O828" s="532"/>
      <c r="P828" s="532"/>
      <c r="Q828" s="532"/>
      <c r="R828" s="532"/>
      <c r="S828" s="532"/>
      <c r="T828" s="532"/>
      <c r="U828" s="532"/>
      <c r="V828" s="532"/>
      <c r="W828" s="532"/>
      <c r="X828" s="532"/>
      <c r="Y828" s="532"/>
      <c r="Z828" s="532"/>
      <c r="AA828" s="532"/>
      <c r="AB828" s="532"/>
      <c r="AC828" s="532"/>
      <c r="AD828" s="532"/>
      <c r="AE828" s="532"/>
      <c r="AF828" s="532"/>
      <c r="AG828" s="532"/>
      <c r="AH828" s="532"/>
      <c r="AI828" s="532"/>
      <c r="AJ828" s="532"/>
      <c r="AK828" s="532"/>
      <c r="AL828" s="532"/>
    </row>
    <row r="829" spans="13:38" ht="12.95" customHeight="1" x14ac:dyDescent="0.2">
      <c r="M829" s="532"/>
      <c r="N829" s="532"/>
      <c r="O829" s="532"/>
      <c r="P829" s="532"/>
      <c r="Q829" s="532"/>
      <c r="R829" s="532"/>
      <c r="S829" s="532"/>
      <c r="T829" s="532"/>
      <c r="U829" s="532"/>
      <c r="V829" s="532"/>
      <c r="W829" s="532"/>
      <c r="X829" s="532"/>
      <c r="Y829" s="532"/>
      <c r="Z829" s="532"/>
      <c r="AA829" s="532"/>
      <c r="AB829" s="532"/>
      <c r="AC829" s="532"/>
      <c r="AD829" s="532"/>
      <c r="AE829" s="532"/>
      <c r="AF829" s="532"/>
      <c r="AG829" s="532"/>
      <c r="AH829" s="532"/>
      <c r="AI829" s="532"/>
      <c r="AJ829" s="532"/>
      <c r="AK829" s="532"/>
      <c r="AL829" s="532"/>
    </row>
    <row r="830" spans="13:38" ht="12.95" customHeight="1" x14ac:dyDescent="0.2">
      <c r="M830" s="532"/>
      <c r="N830" s="532"/>
      <c r="O830" s="532"/>
      <c r="P830" s="532"/>
      <c r="Q830" s="532"/>
      <c r="R830" s="532"/>
      <c r="S830" s="532"/>
      <c r="T830" s="532"/>
      <c r="U830" s="532"/>
      <c r="V830" s="532"/>
      <c r="W830" s="532"/>
      <c r="X830" s="532"/>
      <c r="Y830" s="532"/>
      <c r="Z830" s="532"/>
      <c r="AA830" s="532"/>
      <c r="AB830" s="532"/>
      <c r="AC830" s="532"/>
      <c r="AD830" s="532"/>
      <c r="AE830" s="532"/>
      <c r="AF830" s="532"/>
      <c r="AG830" s="532"/>
      <c r="AH830" s="532"/>
      <c r="AI830" s="532"/>
      <c r="AJ830" s="532"/>
      <c r="AK830" s="532"/>
      <c r="AL830" s="532"/>
    </row>
    <row r="831" spans="13:38" ht="12.95" customHeight="1" x14ac:dyDescent="0.2">
      <c r="M831" s="532"/>
      <c r="N831" s="532"/>
      <c r="O831" s="532"/>
      <c r="P831" s="532"/>
      <c r="Q831" s="532"/>
      <c r="R831" s="532"/>
      <c r="S831" s="532"/>
      <c r="T831" s="532"/>
      <c r="U831" s="532"/>
      <c r="V831" s="532"/>
      <c r="W831" s="532"/>
      <c r="X831" s="532"/>
      <c r="Y831" s="532"/>
      <c r="Z831" s="532"/>
      <c r="AA831" s="532"/>
      <c r="AB831" s="532"/>
      <c r="AC831" s="532"/>
      <c r="AD831" s="532"/>
      <c r="AE831" s="532"/>
      <c r="AF831" s="532"/>
      <c r="AG831" s="532"/>
      <c r="AH831" s="532"/>
      <c r="AI831" s="532"/>
      <c r="AJ831" s="532"/>
      <c r="AK831" s="532"/>
      <c r="AL831" s="532"/>
    </row>
    <row r="832" spans="13:38" ht="12.95" customHeight="1" x14ac:dyDescent="0.2">
      <c r="M832" s="532"/>
      <c r="N832" s="532"/>
      <c r="O832" s="532"/>
      <c r="P832" s="532"/>
      <c r="Q832" s="532"/>
      <c r="R832" s="532"/>
      <c r="S832" s="532"/>
      <c r="T832" s="532"/>
      <c r="U832" s="532"/>
      <c r="V832" s="532"/>
      <c r="W832" s="532"/>
      <c r="X832" s="532"/>
      <c r="Y832" s="532"/>
      <c r="Z832" s="532"/>
      <c r="AA832" s="532"/>
      <c r="AB832" s="532"/>
      <c r="AC832" s="532"/>
      <c r="AD832" s="532"/>
      <c r="AE832" s="532"/>
      <c r="AF832" s="532"/>
      <c r="AG832" s="532"/>
      <c r="AH832" s="532"/>
      <c r="AI832" s="532"/>
      <c r="AJ832" s="532"/>
      <c r="AK832" s="532"/>
      <c r="AL832" s="532"/>
    </row>
    <row r="833" spans="13:38" ht="12.95" customHeight="1" x14ac:dyDescent="0.2">
      <c r="M833" s="532"/>
      <c r="N833" s="532"/>
      <c r="O833" s="532"/>
      <c r="P833" s="532"/>
      <c r="Q833" s="532"/>
      <c r="R833" s="532"/>
      <c r="S833" s="532"/>
      <c r="T833" s="532"/>
      <c r="U833" s="532"/>
      <c r="V833" s="532"/>
      <c r="W833" s="532"/>
      <c r="X833" s="532"/>
      <c r="Y833" s="532"/>
      <c r="Z833" s="532"/>
      <c r="AA833" s="532"/>
      <c r="AB833" s="532"/>
      <c r="AC833" s="532"/>
      <c r="AD833" s="532"/>
      <c r="AE833" s="532"/>
      <c r="AF833" s="532"/>
      <c r="AG833" s="532"/>
      <c r="AH833" s="532"/>
      <c r="AI833" s="532"/>
      <c r="AJ833" s="532"/>
      <c r="AK833" s="532"/>
      <c r="AL833" s="532"/>
    </row>
    <row r="834" spans="13:38" ht="12.95" customHeight="1" x14ac:dyDescent="0.2">
      <c r="M834" s="532"/>
      <c r="N834" s="532"/>
      <c r="O834" s="532"/>
      <c r="P834" s="532"/>
      <c r="Q834" s="532"/>
      <c r="R834" s="532"/>
      <c r="S834" s="532"/>
      <c r="T834" s="532"/>
      <c r="U834" s="532"/>
      <c r="V834" s="532"/>
      <c r="W834" s="532"/>
      <c r="X834" s="532"/>
      <c r="Y834" s="532"/>
      <c r="Z834" s="532"/>
      <c r="AA834" s="532"/>
      <c r="AB834" s="532"/>
      <c r="AC834" s="532"/>
      <c r="AD834" s="532"/>
      <c r="AE834" s="532"/>
      <c r="AF834" s="532"/>
      <c r="AG834" s="532"/>
      <c r="AH834" s="532"/>
      <c r="AI834" s="532"/>
      <c r="AJ834" s="532"/>
      <c r="AK834" s="532"/>
      <c r="AL834" s="532"/>
    </row>
    <row r="835" spans="13:38" ht="12.95" customHeight="1" x14ac:dyDescent="0.2">
      <c r="M835" s="532"/>
      <c r="N835" s="532"/>
      <c r="O835" s="532"/>
      <c r="P835" s="532"/>
      <c r="Q835" s="532"/>
      <c r="R835" s="532"/>
      <c r="S835" s="532"/>
      <c r="T835" s="532"/>
      <c r="U835" s="532"/>
      <c r="V835" s="532"/>
      <c r="W835" s="532"/>
      <c r="X835" s="532"/>
      <c r="Y835" s="532"/>
      <c r="Z835" s="532"/>
      <c r="AA835" s="532"/>
      <c r="AB835" s="532"/>
      <c r="AC835" s="532"/>
      <c r="AD835" s="532"/>
      <c r="AE835" s="532"/>
      <c r="AF835" s="532"/>
      <c r="AG835" s="532"/>
      <c r="AH835" s="532"/>
      <c r="AI835" s="532"/>
      <c r="AJ835" s="532"/>
      <c r="AK835" s="532"/>
      <c r="AL835" s="532"/>
    </row>
    <row r="836" spans="13:38" ht="12.95" customHeight="1" x14ac:dyDescent="0.2">
      <c r="M836" s="532"/>
      <c r="N836" s="532"/>
      <c r="O836" s="532"/>
      <c r="P836" s="532"/>
      <c r="Q836" s="532"/>
      <c r="R836" s="532"/>
      <c r="S836" s="532"/>
      <c r="T836" s="532"/>
      <c r="U836" s="532"/>
      <c r="V836" s="532"/>
      <c r="W836" s="532"/>
      <c r="X836" s="532"/>
      <c r="Y836" s="532"/>
      <c r="Z836" s="532"/>
      <c r="AA836" s="532"/>
      <c r="AB836" s="532"/>
      <c r="AC836" s="532"/>
      <c r="AD836" s="532"/>
      <c r="AE836" s="532"/>
      <c r="AF836" s="532"/>
      <c r="AG836" s="532"/>
      <c r="AH836" s="532"/>
      <c r="AI836" s="532"/>
      <c r="AJ836" s="532"/>
      <c r="AK836" s="532"/>
      <c r="AL836" s="532"/>
    </row>
    <row r="837" spans="13:38" ht="12.95" customHeight="1" x14ac:dyDescent="0.2">
      <c r="M837" s="532"/>
      <c r="N837" s="532"/>
      <c r="O837" s="532"/>
      <c r="P837" s="532"/>
      <c r="Q837" s="532"/>
      <c r="R837" s="532"/>
      <c r="S837" s="532"/>
      <c r="T837" s="532"/>
      <c r="U837" s="532"/>
      <c r="V837" s="532"/>
      <c r="W837" s="532"/>
      <c r="X837" s="532"/>
      <c r="Y837" s="532"/>
      <c r="Z837" s="532"/>
      <c r="AA837" s="532"/>
      <c r="AB837" s="532"/>
      <c r="AC837" s="532"/>
      <c r="AD837" s="532"/>
      <c r="AE837" s="532"/>
      <c r="AF837" s="532"/>
      <c r="AG837" s="532"/>
      <c r="AH837" s="532"/>
      <c r="AI837" s="532"/>
      <c r="AJ837" s="532"/>
      <c r="AK837" s="532"/>
      <c r="AL837" s="532"/>
    </row>
    <row r="838" spans="13:38" ht="12.95" customHeight="1" x14ac:dyDescent="0.2">
      <c r="M838" s="532"/>
      <c r="N838" s="532"/>
      <c r="O838" s="532"/>
      <c r="P838" s="532"/>
      <c r="Q838" s="532"/>
      <c r="R838" s="532"/>
      <c r="S838" s="532"/>
      <c r="T838" s="532"/>
      <c r="U838" s="532"/>
      <c r="V838" s="532"/>
      <c r="W838" s="532"/>
      <c r="X838" s="532"/>
      <c r="Y838" s="532"/>
      <c r="Z838" s="532"/>
      <c r="AA838" s="532"/>
      <c r="AB838" s="532"/>
      <c r="AC838" s="532"/>
      <c r="AD838" s="532"/>
      <c r="AE838" s="532"/>
      <c r="AF838" s="532"/>
      <c r="AG838" s="532"/>
      <c r="AH838" s="532"/>
      <c r="AI838" s="532"/>
      <c r="AJ838" s="532"/>
      <c r="AK838" s="532"/>
      <c r="AL838" s="532"/>
    </row>
    <row r="839" spans="13:38" ht="12.95" customHeight="1" x14ac:dyDescent="0.2">
      <c r="M839" s="532"/>
      <c r="N839" s="532"/>
      <c r="O839" s="532"/>
      <c r="P839" s="532"/>
      <c r="Q839" s="532"/>
      <c r="R839" s="532"/>
      <c r="S839" s="532"/>
      <c r="T839" s="532"/>
      <c r="U839" s="532"/>
      <c r="V839" s="532"/>
      <c r="W839" s="532"/>
      <c r="X839" s="532"/>
      <c r="Y839" s="532"/>
      <c r="Z839" s="532"/>
      <c r="AA839" s="532"/>
      <c r="AB839" s="532"/>
      <c r="AC839" s="532"/>
      <c r="AD839" s="532"/>
      <c r="AE839" s="532"/>
      <c r="AF839" s="532"/>
      <c r="AG839" s="532"/>
      <c r="AH839" s="532"/>
      <c r="AI839" s="532"/>
      <c r="AJ839" s="532"/>
      <c r="AK839" s="532"/>
      <c r="AL839" s="532"/>
    </row>
    <row r="840" spans="13:38" ht="12.95" customHeight="1" x14ac:dyDescent="0.2">
      <c r="M840" s="532"/>
      <c r="N840" s="532"/>
      <c r="O840" s="532"/>
      <c r="P840" s="532"/>
      <c r="Q840" s="532"/>
      <c r="R840" s="532"/>
      <c r="S840" s="532"/>
      <c r="T840" s="532"/>
      <c r="U840" s="532"/>
      <c r="V840" s="532"/>
      <c r="W840" s="532"/>
      <c r="X840" s="532"/>
      <c r="Y840" s="532"/>
      <c r="Z840" s="532"/>
      <c r="AA840" s="532"/>
      <c r="AB840" s="532"/>
      <c r="AC840" s="532"/>
      <c r="AD840" s="532"/>
      <c r="AE840" s="532"/>
      <c r="AF840" s="532"/>
      <c r="AG840" s="532"/>
      <c r="AH840" s="532"/>
      <c r="AI840" s="532"/>
      <c r="AJ840" s="532"/>
      <c r="AK840" s="532"/>
      <c r="AL840" s="532"/>
    </row>
    <row r="841" spans="13:38" ht="12.95" customHeight="1" x14ac:dyDescent="0.2">
      <c r="M841" s="532"/>
      <c r="N841" s="532"/>
      <c r="O841" s="532"/>
      <c r="P841" s="532"/>
      <c r="Q841" s="532"/>
      <c r="R841" s="532"/>
      <c r="S841" s="532"/>
      <c r="T841" s="532"/>
      <c r="U841" s="532"/>
      <c r="V841" s="532"/>
      <c r="W841" s="532"/>
      <c r="X841" s="532"/>
      <c r="Y841" s="532"/>
      <c r="Z841" s="532"/>
      <c r="AA841" s="532"/>
      <c r="AB841" s="532"/>
      <c r="AC841" s="532"/>
      <c r="AD841" s="532"/>
      <c r="AE841" s="532"/>
      <c r="AF841" s="532"/>
      <c r="AG841" s="532"/>
      <c r="AH841" s="532"/>
      <c r="AI841" s="532"/>
      <c r="AJ841" s="532"/>
      <c r="AK841" s="532"/>
      <c r="AL841" s="532"/>
    </row>
    <row r="842" spans="13:38" ht="12.95" customHeight="1" x14ac:dyDescent="0.2">
      <c r="M842" s="532"/>
      <c r="N842" s="532"/>
      <c r="O842" s="532"/>
      <c r="P842" s="532"/>
      <c r="Q842" s="532"/>
      <c r="R842" s="532"/>
      <c r="S842" s="532"/>
      <c r="T842" s="532"/>
      <c r="U842" s="532"/>
      <c r="V842" s="532"/>
      <c r="W842" s="532"/>
      <c r="X842" s="532"/>
      <c r="Y842" s="532"/>
      <c r="Z842" s="532"/>
      <c r="AA842" s="532"/>
      <c r="AB842" s="532"/>
      <c r="AC842" s="532"/>
      <c r="AD842" s="532"/>
      <c r="AE842" s="532"/>
      <c r="AF842" s="532"/>
      <c r="AG842" s="532"/>
      <c r="AH842" s="532"/>
      <c r="AI842" s="532"/>
      <c r="AJ842" s="532"/>
      <c r="AK842" s="532"/>
      <c r="AL842" s="532"/>
    </row>
    <row r="843" spans="13:38" ht="12.95" customHeight="1" x14ac:dyDescent="0.2">
      <c r="M843" s="532"/>
      <c r="N843" s="532"/>
      <c r="O843" s="532"/>
      <c r="P843" s="532"/>
      <c r="Q843" s="532"/>
      <c r="R843" s="532"/>
      <c r="S843" s="532"/>
      <c r="T843" s="532"/>
      <c r="U843" s="532"/>
      <c r="V843" s="532"/>
      <c r="W843" s="532"/>
      <c r="X843" s="532"/>
      <c r="Y843" s="532"/>
      <c r="Z843" s="532"/>
      <c r="AA843" s="532"/>
      <c r="AB843" s="532"/>
      <c r="AC843" s="532"/>
      <c r="AD843" s="532"/>
      <c r="AE843" s="532"/>
      <c r="AF843" s="532"/>
      <c r="AG843" s="532"/>
      <c r="AH843" s="532"/>
      <c r="AI843" s="532"/>
      <c r="AJ843" s="532"/>
      <c r="AK843" s="532"/>
      <c r="AL843" s="532"/>
    </row>
    <row r="844" spans="13:38" ht="12.95" customHeight="1" x14ac:dyDescent="0.2">
      <c r="M844" s="532"/>
      <c r="N844" s="532"/>
      <c r="O844" s="532"/>
      <c r="P844" s="532"/>
      <c r="Q844" s="532"/>
      <c r="R844" s="532"/>
      <c r="S844" s="532"/>
      <c r="T844" s="532"/>
      <c r="U844" s="532"/>
      <c r="V844" s="532"/>
      <c r="W844" s="532"/>
      <c r="X844" s="532"/>
      <c r="Y844" s="532"/>
      <c r="Z844" s="532"/>
      <c r="AA844" s="532"/>
      <c r="AB844" s="532"/>
      <c r="AC844" s="532"/>
      <c r="AD844" s="532"/>
      <c r="AE844" s="532"/>
      <c r="AF844" s="532"/>
      <c r="AG844" s="532"/>
      <c r="AH844" s="532"/>
      <c r="AI844" s="532"/>
      <c r="AJ844" s="532"/>
      <c r="AK844" s="532"/>
      <c r="AL844" s="532"/>
    </row>
    <row r="845" spans="13:38" ht="12.95" customHeight="1" x14ac:dyDescent="0.2">
      <c r="M845" s="532"/>
      <c r="N845" s="532"/>
      <c r="O845" s="532"/>
      <c r="P845" s="532"/>
      <c r="Q845" s="532"/>
      <c r="R845" s="532"/>
      <c r="S845" s="532"/>
      <c r="T845" s="532"/>
      <c r="U845" s="532"/>
      <c r="V845" s="532"/>
      <c r="W845" s="532"/>
      <c r="X845" s="532"/>
      <c r="Y845" s="532"/>
      <c r="Z845" s="532"/>
      <c r="AA845" s="532"/>
      <c r="AB845" s="532"/>
      <c r="AC845" s="532"/>
      <c r="AD845" s="532"/>
      <c r="AE845" s="532"/>
      <c r="AF845" s="532"/>
      <c r="AG845" s="532"/>
      <c r="AH845" s="532"/>
      <c r="AI845" s="532"/>
      <c r="AJ845" s="532"/>
      <c r="AK845" s="532"/>
      <c r="AL845" s="532"/>
    </row>
    <row r="846" spans="13:38" ht="12.95" customHeight="1" x14ac:dyDescent="0.2">
      <c r="M846" s="532"/>
      <c r="N846" s="532"/>
      <c r="O846" s="532"/>
      <c r="P846" s="532"/>
      <c r="Q846" s="532"/>
      <c r="R846" s="532"/>
      <c r="S846" s="532"/>
      <c r="T846" s="532"/>
      <c r="U846" s="532"/>
      <c r="V846" s="532"/>
      <c r="W846" s="532"/>
      <c r="X846" s="532"/>
      <c r="Y846" s="532"/>
      <c r="Z846" s="532"/>
      <c r="AA846" s="532"/>
      <c r="AB846" s="532"/>
      <c r="AC846" s="532"/>
      <c r="AD846" s="532"/>
      <c r="AE846" s="532"/>
      <c r="AF846" s="532"/>
      <c r="AG846" s="532"/>
      <c r="AH846" s="532"/>
      <c r="AI846" s="532"/>
      <c r="AJ846" s="532"/>
      <c r="AK846" s="532"/>
      <c r="AL846" s="532"/>
    </row>
    <row r="847" spans="13:38" ht="12.95" customHeight="1" x14ac:dyDescent="0.2">
      <c r="M847" s="532"/>
      <c r="N847" s="532"/>
      <c r="O847" s="532"/>
      <c r="P847" s="532"/>
      <c r="Q847" s="532"/>
      <c r="R847" s="532"/>
      <c r="S847" s="532"/>
      <c r="T847" s="532"/>
      <c r="U847" s="532"/>
      <c r="V847" s="532"/>
      <c r="W847" s="532"/>
      <c r="X847" s="532"/>
      <c r="Y847" s="532"/>
      <c r="Z847" s="532"/>
      <c r="AA847" s="532"/>
      <c r="AB847" s="532"/>
      <c r="AC847" s="532"/>
      <c r="AD847" s="532"/>
      <c r="AE847" s="532"/>
      <c r="AF847" s="532"/>
      <c r="AG847" s="532"/>
      <c r="AH847" s="532"/>
      <c r="AI847" s="532"/>
      <c r="AJ847" s="532"/>
      <c r="AK847" s="532"/>
      <c r="AL847" s="532"/>
    </row>
    <row r="848" spans="13:38" ht="12.95" customHeight="1" x14ac:dyDescent="0.2">
      <c r="M848" s="532"/>
      <c r="N848" s="532"/>
      <c r="O848" s="532"/>
      <c r="P848" s="532"/>
      <c r="Q848" s="532"/>
      <c r="R848" s="532"/>
      <c r="S848" s="532"/>
      <c r="T848" s="532"/>
      <c r="U848" s="532"/>
      <c r="V848" s="532"/>
      <c r="W848" s="532"/>
      <c r="X848" s="532"/>
      <c r="Y848" s="532"/>
      <c r="Z848" s="532"/>
      <c r="AA848" s="532"/>
      <c r="AB848" s="532"/>
      <c r="AC848" s="532"/>
      <c r="AD848" s="532"/>
      <c r="AE848" s="532"/>
      <c r="AF848" s="532"/>
      <c r="AG848" s="532"/>
      <c r="AH848" s="532"/>
      <c r="AI848" s="532"/>
      <c r="AJ848" s="532"/>
      <c r="AK848" s="532"/>
      <c r="AL848" s="532"/>
    </row>
    <row r="849" spans="13:38" ht="12.95" customHeight="1" x14ac:dyDescent="0.2">
      <c r="M849" s="532"/>
      <c r="N849" s="532"/>
      <c r="O849" s="532"/>
      <c r="P849" s="532"/>
      <c r="Q849" s="532"/>
      <c r="R849" s="532"/>
      <c r="S849" s="532"/>
      <c r="T849" s="532"/>
      <c r="U849" s="532"/>
      <c r="V849" s="532"/>
      <c r="W849" s="532"/>
      <c r="X849" s="532"/>
      <c r="Y849" s="532"/>
      <c r="Z849" s="532"/>
      <c r="AA849" s="532"/>
      <c r="AB849" s="532"/>
      <c r="AC849" s="532"/>
      <c r="AD849" s="532"/>
      <c r="AE849" s="532"/>
      <c r="AF849" s="532"/>
      <c r="AG849" s="532"/>
      <c r="AH849" s="532"/>
      <c r="AI849" s="532"/>
      <c r="AJ849" s="532"/>
      <c r="AK849" s="532"/>
      <c r="AL849" s="532"/>
    </row>
    <row r="850" spans="13:38" ht="12.95" customHeight="1" x14ac:dyDescent="0.2">
      <c r="M850" s="532"/>
      <c r="N850" s="532"/>
      <c r="O850" s="532"/>
      <c r="P850" s="532"/>
      <c r="Q850" s="532"/>
      <c r="R850" s="532"/>
      <c r="S850" s="532"/>
      <c r="T850" s="532"/>
      <c r="U850" s="532"/>
      <c r="V850" s="532"/>
      <c r="W850" s="532"/>
      <c r="X850" s="532"/>
      <c r="Y850" s="532"/>
      <c r="Z850" s="532"/>
      <c r="AA850" s="532"/>
      <c r="AB850" s="532"/>
      <c r="AC850" s="532"/>
      <c r="AD850" s="532"/>
      <c r="AE850" s="532"/>
      <c r="AF850" s="532"/>
      <c r="AG850" s="532"/>
      <c r="AH850" s="532"/>
      <c r="AI850" s="532"/>
      <c r="AJ850" s="532"/>
      <c r="AK850" s="532"/>
      <c r="AL850" s="532"/>
    </row>
    <row r="851" spans="13:38" ht="12.95" customHeight="1" x14ac:dyDescent="0.2">
      <c r="M851" s="532"/>
      <c r="N851" s="532"/>
      <c r="O851" s="532"/>
      <c r="P851" s="532"/>
      <c r="Q851" s="532"/>
      <c r="R851" s="532"/>
      <c r="S851" s="532"/>
      <c r="T851" s="532"/>
      <c r="U851" s="532"/>
      <c r="V851" s="532"/>
      <c r="W851" s="532"/>
      <c r="X851" s="532"/>
      <c r="Y851" s="532"/>
      <c r="Z851" s="532"/>
      <c r="AA851" s="532"/>
      <c r="AB851" s="532"/>
      <c r="AC851" s="532"/>
      <c r="AD851" s="532"/>
      <c r="AE851" s="532"/>
      <c r="AF851" s="532"/>
      <c r="AG851" s="532"/>
      <c r="AH851" s="532"/>
      <c r="AI851" s="532"/>
      <c r="AJ851" s="532"/>
      <c r="AK851" s="532"/>
      <c r="AL851" s="532"/>
    </row>
    <row r="852" spans="13:38" ht="12.95" customHeight="1" x14ac:dyDescent="0.2">
      <c r="M852" s="532"/>
      <c r="N852" s="532"/>
      <c r="O852" s="532"/>
      <c r="P852" s="532"/>
      <c r="Q852" s="532"/>
      <c r="R852" s="532"/>
      <c r="S852" s="532"/>
      <c r="T852" s="532"/>
      <c r="U852" s="532"/>
      <c r="V852" s="532"/>
      <c r="W852" s="532"/>
      <c r="X852" s="532"/>
      <c r="Y852" s="532"/>
      <c r="Z852" s="532"/>
      <c r="AA852" s="532"/>
      <c r="AB852" s="532"/>
      <c r="AC852" s="532"/>
      <c r="AD852" s="532"/>
      <c r="AE852" s="532"/>
      <c r="AF852" s="532"/>
      <c r="AG852" s="532"/>
      <c r="AH852" s="532"/>
      <c r="AI852" s="532"/>
      <c r="AJ852" s="532"/>
      <c r="AK852" s="532"/>
      <c r="AL852" s="532"/>
    </row>
    <row r="853" spans="13:38" ht="12.95" customHeight="1" x14ac:dyDescent="0.2">
      <c r="M853" s="532"/>
      <c r="N853" s="532"/>
      <c r="O853" s="532"/>
      <c r="P853" s="532"/>
      <c r="Q853" s="532"/>
      <c r="R853" s="532"/>
      <c r="S853" s="532"/>
      <c r="T853" s="532"/>
      <c r="U853" s="532"/>
      <c r="V853" s="532"/>
      <c r="W853" s="532"/>
      <c r="X853" s="532"/>
      <c r="Y853" s="532"/>
      <c r="Z853" s="532"/>
      <c r="AA853" s="532"/>
      <c r="AB853" s="532"/>
      <c r="AC853" s="532"/>
      <c r="AD853" s="532"/>
      <c r="AE853" s="532"/>
      <c r="AF853" s="532"/>
      <c r="AG853" s="532"/>
      <c r="AH853" s="532"/>
      <c r="AI853" s="532"/>
      <c r="AJ853" s="532"/>
      <c r="AK853" s="532"/>
      <c r="AL853" s="532"/>
    </row>
    <row r="854" spans="13:38" ht="12.95" customHeight="1" x14ac:dyDescent="0.2">
      <c r="M854" s="532"/>
      <c r="N854" s="532"/>
      <c r="O854" s="532"/>
      <c r="P854" s="532"/>
      <c r="Q854" s="532"/>
      <c r="R854" s="532"/>
      <c r="S854" s="532"/>
      <c r="T854" s="532"/>
      <c r="U854" s="532"/>
      <c r="V854" s="532"/>
      <c r="W854" s="532"/>
      <c r="X854" s="532"/>
      <c r="Y854" s="532"/>
      <c r="Z854" s="532"/>
      <c r="AA854" s="532"/>
      <c r="AB854" s="532"/>
      <c r="AC854" s="532"/>
      <c r="AD854" s="532"/>
      <c r="AE854" s="532"/>
      <c r="AF854" s="532"/>
      <c r="AG854" s="532"/>
      <c r="AH854" s="532"/>
      <c r="AI854" s="532"/>
      <c r="AJ854" s="532"/>
      <c r="AK854" s="532"/>
      <c r="AL854" s="532"/>
    </row>
    <row r="855" spans="13:38" ht="12.95" customHeight="1" x14ac:dyDescent="0.2">
      <c r="M855" s="532"/>
      <c r="N855" s="532"/>
      <c r="O855" s="532"/>
      <c r="P855" s="532"/>
      <c r="Q855" s="532"/>
      <c r="R855" s="532"/>
      <c r="S855" s="532"/>
      <c r="T855" s="532"/>
      <c r="U855" s="532"/>
      <c r="V855" s="532"/>
      <c r="W855" s="532"/>
      <c r="X855" s="532"/>
      <c r="Y855" s="532"/>
      <c r="Z855" s="532"/>
      <c r="AA855" s="532"/>
      <c r="AB855" s="532"/>
      <c r="AC855" s="532"/>
      <c r="AD855" s="532"/>
      <c r="AE855" s="532"/>
      <c r="AF855" s="532"/>
      <c r="AG855" s="532"/>
      <c r="AH855" s="532"/>
      <c r="AI855" s="532"/>
      <c r="AJ855" s="532"/>
      <c r="AK855" s="532"/>
      <c r="AL855" s="532"/>
    </row>
    <row r="856" spans="13:38" ht="12.95" customHeight="1" x14ac:dyDescent="0.2">
      <c r="M856" s="532"/>
      <c r="N856" s="532"/>
      <c r="O856" s="532"/>
      <c r="P856" s="532"/>
      <c r="Q856" s="532"/>
      <c r="R856" s="532"/>
      <c r="S856" s="532"/>
      <c r="T856" s="532"/>
      <c r="U856" s="532"/>
      <c r="V856" s="532"/>
      <c r="W856" s="532"/>
      <c r="X856" s="532"/>
      <c r="Y856" s="532"/>
      <c r="Z856" s="532"/>
      <c r="AA856" s="532"/>
      <c r="AB856" s="532"/>
      <c r="AC856" s="532"/>
      <c r="AD856" s="532"/>
      <c r="AE856" s="532"/>
      <c r="AF856" s="532"/>
      <c r="AG856" s="532"/>
      <c r="AH856" s="532"/>
      <c r="AI856" s="532"/>
      <c r="AJ856" s="532"/>
      <c r="AK856" s="532"/>
      <c r="AL856" s="532"/>
    </row>
    <row r="857" spans="13:38" ht="12.95" customHeight="1" x14ac:dyDescent="0.2">
      <c r="M857" s="532"/>
      <c r="N857" s="532"/>
      <c r="O857" s="532"/>
      <c r="P857" s="532"/>
      <c r="Q857" s="532"/>
      <c r="R857" s="532"/>
      <c r="S857" s="532"/>
      <c r="T857" s="532"/>
      <c r="U857" s="532"/>
      <c r="V857" s="532"/>
      <c r="W857" s="532"/>
      <c r="X857" s="532"/>
      <c r="Y857" s="532"/>
      <c r="Z857" s="532"/>
      <c r="AA857" s="532"/>
      <c r="AB857" s="532"/>
      <c r="AC857" s="532"/>
      <c r="AD857" s="532"/>
      <c r="AE857" s="532"/>
      <c r="AF857" s="532"/>
      <c r="AG857" s="532"/>
      <c r="AH857" s="532"/>
      <c r="AI857" s="532"/>
      <c r="AJ857" s="532"/>
      <c r="AK857" s="532"/>
      <c r="AL857" s="532"/>
    </row>
    <row r="858" spans="13:38" ht="12.95" customHeight="1" x14ac:dyDescent="0.2">
      <c r="M858" s="532"/>
      <c r="N858" s="532"/>
      <c r="O858" s="532"/>
      <c r="P858" s="532"/>
      <c r="Q858" s="532"/>
      <c r="R858" s="532"/>
      <c r="S858" s="532"/>
      <c r="T858" s="532"/>
      <c r="U858" s="532"/>
      <c r="V858" s="532"/>
      <c r="W858" s="532"/>
      <c r="X858" s="532"/>
      <c r="Y858" s="532"/>
      <c r="Z858" s="532"/>
      <c r="AA858" s="532"/>
      <c r="AB858" s="532"/>
      <c r="AC858" s="532"/>
      <c r="AD858" s="532"/>
      <c r="AE858" s="532"/>
      <c r="AF858" s="532"/>
      <c r="AG858" s="532"/>
      <c r="AH858" s="532"/>
      <c r="AI858" s="532"/>
      <c r="AJ858" s="532"/>
      <c r="AK858" s="532"/>
      <c r="AL858" s="532"/>
    </row>
    <row r="859" spans="13:38" ht="12.95" customHeight="1" x14ac:dyDescent="0.2">
      <c r="M859" s="532"/>
      <c r="N859" s="532"/>
      <c r="O859" s="532"/>
      <c r="P859" s="532"/>
      <c r="Q859" s="532"/>
      <c r="R859" s="532"/>
      <c r="S859" s="532"/>
      <c r="T859" s="532"/>
      <c r="U859" s="532"/>
      <c r="V859" s="532"/>
      <c r="W859" s="532"/>
      <c r="X859" s="532"/>
      <c r="Y859" s="532"/>
      <c r="Z859" s="532"/>
      <c r="AA859" s="532"/>
      <c r="AB859" s="532"/>
      <c r="AC859" s="532"/>
      <c r="AD859" s="532"/>
      <c r="AE859" s="532"/>
      <c r="AF859" s="532"/>
      <c r="AG859" s="532"/>
      <c r="AH859" s="532"/>
      <c r="AI859" s="532"/>
      <c r="AJ859" s="532"/>
      <c r="AK859" s="532"/>
      <c r="AL859" s="532"/>
    </row>
    <row r="860" spans="13:38" ht="12.95" customHeight="1" x14ac:dyDescent="0.2">
      <c r="M860" s="532"/>
      <c r="N860" s="532"/>
      <c r="O860" s="532"/>
      <c r="P860" s="532"/>
      <c r="Q860" s="532"/>
      <c r="R860" s="532"/>
      <c r="S860" s="532"/>
      <c r="T860" s="532"/>
      <c r="U860" s="532"/>
      <c r="V860" s="532"/>
      <c r="W860" s="532"/>
      <c r="X860" s="532"/>
      <c r="Y860" s="532"/>
      <c r="Z860" s="532"/>
      <c r="AA860" s="532"/>
      <c r="AB860" s="532"/>
      <c r="AC860" s="532"/>
      <c r="AD860" s="532"/>
      <c r="AE860" s="532"/>
      <c r="AF860" s="532"/>
      <c r="AG860" s="532"/>
      <c r="AH860" s="532"/>
      <c r="AI860" s="532"/>
      <c r="AJ860" s="532"/>
      <c r="AK860" s="532"/>
      <c r="AL860" s="532"/>
    </row>
    <row r="861" spans="13:38" ht="12.95" customHeight="1" x14ac:dyDescent="0.2">
      <c r="M861" s="532"/>
      <c r="N861" s="532"/>
      <c r="O861" s="532"/>
      <c r="P861" s="532"/>
      <c r="Q861" s="532"/>
      <c r="R861" s="532"/>
      <c r="S861" s="532"/>
      <c r="T861" s="532"/>
      <c r="U861" s="532"/>
      <c r="V861" s="532"/>
      <c r="W861" s="532"/>
      <c r="X861" s="532"/>
      <c r="Y861" s="532"/>
      <c r="Z861" s="532"/>
      <c r="AA861" s="532"/>
      <c r="AB861" s="532"/>
      <c r="AC861" s="532"/>
      <c r="AD861" s="532"/>
      <c r="AE861" s="532"/>
      <c r="AF861" s="532"/>
      <c r="AG861" s="532"/>
      <c r="AH861" s="532"/>
      <c r="AI861" s="532"/>
      <c r="AJ861" s="532"/>
      <c r="AK861" s="532"/>
      <c r="AL861" s="532"/>
    </row>
    <row r="862" spans="13:38" ht="12.95" customHeight="1" x14ac:dyDescent="0.2">
      <c r="M862" s="532"/>
      <c r="N862" s="532"/>
      <c r="O862" s="532"/>
      <c r="P862" s="532"/>
      <c r="Q862" s="532"/>
      <c r="R862" s="532"/>
      <c r="S862" s="532"/>
      <c r="T862" s="532"/>
      <c r="U862" s="532"/>
      <c r="V862" s="532"/>
      <c r="W862" s="532"/>
      <c r="X862" s="532"/>
      <c r="Y862" s="532"/>
      <c r="Z862" s="532"/>
      <c r="AA862" s="532"/>
      <c r="AB862" s="532"/>
      <c r="AC862" s="532"/>
      <c r="AD862" s="532"/>
      <c r="AE862" s="532"/>
      <c r="AF862" s="532"/>
      <c r="AG862" s="532"/>
      <c r="AH862" s="532"/>
      <c r="AI862" s="532"/>
      <c r="AJ862" s="532"/>
      <c r="AK862" s="532"/>
      <c r="AL862" s="532"/>
    </row>
    <row r="863" spans="13:38" ht="12.95" customHeight="1" x14ac:dyDescent="0.2">
      <c r="M863" s="532"/>
      <c r="N863" s="532"/>
      <c r="O863" s="532"/>
      <c r="P863" s="532"/>
      <c r="Q863" s="532"/>
      <c r="R863" s="532"/>
      <c r="S863" s="532"/>
      <c r="T863" s="532"/>
      <c r="U863" s="532"/>
      <c r="V863" s="532"/>
      <c r="W863" s="532"/>
      <c r="X863" s="532"/>
      <c r="Y863" s="532"/>
      <c r="Z863" s="532"/>
      <c r="AA863" s="532"/>
      <c r="AB863" s="532"/>
      <c r="AC863" s="532"/>
      <c r="AD863" s="532"/>
      <c r="AE863" s="532"/>
      <c r="AF863" s="532"/>
      <c r="AG863" s="532"/>
      <c r="AH863" s="532"/>
      <c r="AI863" s="532"/>
      <c r="AJ863" s="532"/>
      <c r="AK863" s="532"/>
      <c r="AL863" s="532"/>
    </row>
    <row r="864" spans="13:38" ht="12.95" customHeight="1" x14ac:dyDescent="0.2">
      <c r="M864" s="532"/>
      <c r="N864" s="532"/>
      <c r="O864" s="532"/>
      <c r="P864" s="532"/>
      <c r="Q864" s="532"/>
      <c r="R864" s="532"/>
      <c r="S864" s="532"/>
      <c r="T864" s="532"/>
      <c r="U864" s="532"/>
      <c r="V864" s="532"/>
      <c r="W864" s="532"/>
      <c r="X864" s="532"/>
      <c r="Y864" s="532"/>
      <c r="Z864" s="532"/>
      <c r="AA864" s="532"/>
      <c r="AB864" s="532"/>
      <c r="AC864" s="532"/>
      <c r="AD864" s="532"/>
      <c r="AE864" s="532"/>
      <c r="AF864" s="532"/>
      <c r="AG864" s="532"/>
      <c r="AH864" s="532"/>
      <c r="AI864" s="532"/>
      <c r="AJ864" s="532"/>
      <c r="AK864" s="532"/>
      <c r="AL864" s="532"/>
    </row>
    <row r="865" spans="13:38" ht="12.95" customHeight="1" x14ac:dyDescent="0.2">
      <c r="M865" s="532"/>
      <c r="N865" s="532"/>
      <c r="O865" s="532"/>
      <c r="P865" s="532"/>
      <c r="Q865" s="532"/>
      <c r="R865" s="532"/>
      <c r="S865" s="532"/>
      <c r="T865" s="532"/>
      <c r="U865" s="532"/>
      <c r="V865" s="532"/>
      <c r="W865" s="532"/>
      <c r="X865" s="532"/>
      <c r="Y865" s="532"/>
      <c r="Z865" s="532"/>
      <c r="AA865" s="532"/>
      <c r="AB865" s="532"/>
      <c r="AC865" s="532"/>
      <c r="AD865" s="532"/>
      <c r="AE865" s="532"/>
      <c r="AF865" s="532"/>
      <c r="AG865" s="532"/>
      <c r="AH865" s="532"/>
      <c r="AI865" s="532"/>
      <c r="AJ865" s="532"/>
      <c r="AK865" s="532"/>
      <c r="AL865" s="532"/>
    </row>
    <row r="866" spans="13:38" ht="12.95" customHeight="1" x14ac:dyDescent="0.2">
      <c r="M866" s="532"/>
      <c r="N866" s="532"/>
      <c r="O866" s="532"/>
      <c r="P866" s="532"/>
      <c r="Q866" s="532"/>
      <c r="R866" s="532"/>
      <c r="S866" s="532"/>
      <c r="T866" s="532"/>
      <c r="U866" s="532"/>
      <c r="V866" s="532"/>
      <c r="W866" s="532"/>
      <c r="X866" s="532"/>
      <c r="Y866" s="532"/>
      <c r="Z866" s="532"/>
      <c r="AA866" s="532"/>
      <c r="AB866" s="532"/>
      <c r="AC866" s="532"/>
      <c r="AD866" s="532"/>
      <c r="AE866" s="532"/>
      <c r="AF866" s="532"/>
      <c r="AG866" s="532"/>
      <c r="AH866" s="532"/>
      <c r="AI866" s="532"/>
      <c r="AJ866" s="532"/>
      <c r="AK866" s="532"/>
      <c r="AL866" s="532"/>
    </row>
    <row r="867" spans="13:38" ht="12.95" customHeight="1" x14ac:dyDescent="0.2">
      <c r="M867" s="532"/>
      <c r="N867" s="532"/>
      <c r="O867" s="532"/>
      <c r="P867" s="532"/>
      <c r="Q867" s="532"/>
      <c r="R867" s="532"/>
      <c r="S867" s="532"/>
      <c r="T867" s="532"/>
      <c r="U867" s="532"/>
      <c r="V867" s="532"/>
      <c r="W867" s="532"/>
      <c r="X867" s="532"/>
      <c r="Y867" s="532"/>
      <c r="Z867" s="532"/>
      <c r="AA867" s="532"/>
      <c r="AB867" s="532"/>
      <c r="AC867" s="532"/>
      <c r="AD867" s="532"/>
      <c r="AE867" s="532"/>
      <c r="AF867" s="532"/>
      <c r="AG867" s="532"/>
      <c r="AH867" s="532"/>
      <c r="AI867" s="532"/>
      <c r="AJ867" s="532"/>
      <c r="AK867" s="532"/>
      <c r="AL867" s="532"/>
    </row>
  </sheetData>
  <mergeCells count="15">
    <mergeCell ref="C99:K99"/>
    <mergeCell ref="C4:K4"/>
    <mergeCell ref="C6:K6"/>
    <mergeCell ref="C10:L10"/>
    <mergeCell ref="C74:E74"/>
    <mergeCell ref="C75:E75"/>
    <mergeCell ref="C76:E76"/>
    <mergeCell ref="C83:E83"/>
    <mergeCell ref="C84:E84"/>
    <mergeCell ref="C85:E85"/>
    <mergeCell ref="C78:E78"/>
    <mergeCell ref="C95:K95"/>
    <mergeCell ref="C96:K96"/>
    <mergeCell ref="C97:K97"/>
    <mergeCell ref="C98:K98"/>
  </mergeCells>
  <hyperlinks>
    <hyperlink ref="C38" location="Table16" display="Go to machinery operations" xr:uid="{00000000-0004-0000-0E00-000000000000}"/>
  </hyperlinks>
  <pageMargins left="0.7" right="0.7" top="0.75" bottom="0.75" header="0.3" footer="0.3"/>
  <pageSetup scale="84" orientation="portrait" r:id="rId1"/>
  <headerFooter alignWithMargins="0">
    <oddFooter>&amp;L&amp;A&amp;C&amp;F&amp;R&amp;D</oddFooter>
  </headerFooter>
  <rowBreaks count="1" manualBreakCount="1">
    <brk id="71" min="1"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fitToPage="1"/>
  </sheetPr>
  <dimension ref="A1:AC258"/>
  <sheetViews>
    <sheetView topLeftCell="C1" zoomScale="90" zoomScaleNormal="90" zoomScaleSheetLayoutView="80" workbookViewId="0">
      <selection activeCell="N151" sqref="N151"/>
    </sheetView>
  </sheetViews>
  <sheetFormatPr defaultColWidth="18.7109375" defaultRowHeight="12.95" customHeight="1" x14ac:dyDescent="0.2"/>
  <cols>
    <col min="1" max="1" width="4.140625" style="154" customWidth="1"/>
    <col min="2" max="2" width="37.7109375" customWidth="1"/>
    <col min="3" max="3" width="13.140625" customWidth="1"/>
    <col min="4" max="4" width="12.7109375" customWidth="1"/>
    <col min="5" max="6" width="9.140625" customWidth="1"/>
    <col min="7" max="7" width="10.28515625" bestFit="1" customWidth="1"/>
    <col min="8" max="8" width="13.140625" customWidth="1"/>
    <col min="9" max="9" width="12.5703125" customWidth="1"/>
    <col min="10" max="15" width="9.140625" customWidth="1"/>
  </cols>
  <sheetData>
    <row r="1" spans="1:29" s="154" customFormat="1" ht="12.75" x14ac:dyDescent="0.2"/>
    <row r="2" spans="1:29" s="532" customFormat="1" ht="12.75" customHeight="1" x14ac:dyDescent="0.2">
      <c r="B2" s="688" t="s">
        <v>515</v>
      </c>
      <c r="C2" s="688"/>
      <c r="D2" s="688"/>
      <c r="E2" s="688"/>
      <c r="F2" s="688"/>
      <c r="G2" s="688"/>
      <c r="H2" s="688"/>
      <c r="I2" s="688"/>
      <c r="J2" s="688"/>
      <c r="K2" s="688"/>
      <c r="L2" s="688"/>
      <c r="M2" s="688"/>
      <c r="N2" s="688"/>
      <c r="O2" s="688"/>
    </row>
    <row r="3" spans="1:29" s="532" customFormat="1" ht="12.75" customHeight="1" x14ac:dyDescent="0.2">
      <c r="B3" s="688"/>
      <c r="C3" s="688"/>
      <c r="D3" s="688"/>
      <c r="E3" s="688"/>
      <c r="F3" s="688"/>
      <c r="G3" s="688"/>
      <c r="H3" s="688"/>
      <c r="I3" s="688"/>
      <c r="J3" s="688"/>
      <c r="K3" s="688"/>
      <c r="L3" s="688"/>
      <c r="M3" s="688"/>
      <c r="N3" s="688"/>
      <c r="O3" s="688"/>
    </row>
    <row r="4" spans="1:29" s="532" customFormat="1" ht="12.75" customHeight="1" x14ac:dyDescent="0.2">
      <c r="B4" s="688"/>
      <c r="C4" s="688"/>
      <c r="D4" s="688"/>
      <c r="E4" s="688"/>
      <c r="F4" s="688"/>
      <c r="G4" s="688"/>
      <c r="H4" s="688"/>
      <c r="I4" s="688"/>
      <c r="J4" s="688"/>
      <c r="K4" s="688"/>
      <c r="L4" s="688"/>
      <c r="M4" s="688"/>
      <c r="N4" s="688"/>
      <c r="O4" s="688"/>
    </row>
    <row r="5" spans="1:29" s="532" customFormat="1" ht="12.75" customHeight="1" x14ac:dyDescent="0.2">
      <c r="B5" s="688"/>
      <c r="C5" s="688"/>
      <c r="D5" s="688"/>
      <c r="E5" s="688"/>
      <c r="F5" s="688"/>
      <c r="G5" s="688"/>
      <c r="H5" s="688"/>
      <c r="I5" s="688"/>
      <c r="J5" s="688"/>
      <c r="K5" s="688"/>
      <c r="L5" s="688"/>
      <c r="M5" s="688"/>
      <c r="N5" s="688"/>
      <c r="O5" s="688"/>
    </row>
    <row r="6" spans="1:29" s="532" customFormat="1" ht="15" customHeight="1" x14ac:dyDescent="0.2">
      <c r="B6" s="688"/>
      <c r="C6" s="688"/>
      <c r="D6" s="688"/>
      <c r="E6" s="688"/>
      <c r="F6" s="688"/>
      <c r="G6" s="688"/>
      <c r="H6" s="688"/>
      <c r="I6" s="688"/>
      <c r="J6" s="688"/>
      <c r="K6" s="688"/>
      <c r="L6" s="688"/>
      <c r="M6" s="688"/>
      <c r="N6" s="688"/>
      <c r="O6" s="688"/>
    </row>
    <row r="7" spans="1:29" s="532" customFormat="1" ht="14.25" customHeight="1" x14ac:dyDescent="0.2">
      <c r="B7" s="688"/>
      <c r="C7" s="688"/>
      <c r="D7" s="688"/>
      <c r="E7" s="688"/>
      <c r="F7" s="688"/>
      <c r="G7" s="688"/>
      <c r="H7" s="688"/>
      <c r="I7" s="688"/>
      <c r="J7" s="688"/>
      <c r="K7" s="688"/>
      <c r="L7" s="688"/>
      <c r="M7" s="688"/>
      <c r="N7" s="688"/>
      <c r="O7" s="688"/>
    </row>
    <row r="8" spans="1:29" s="121" customFormat="1" ht="15.75" x14ac:dyDescent="0.25">
      <c r="B8" s="621" t="s">
        <v>514</v>
      </c>
      <c r="C8" s="621"/>
      <c r="D8" s="621"/>
      <c r="E8" s="621"/>
      <c r="F8" s="621"/>
      <c r="G8" s="621"/>
      <c r="H8" s="621"/>
      <c r="I8" s="622"/>
      <c r="J8" s="622"/>
      <c r="K8" s="622"/>
      <c r="L8" s="622"/>
      <c r="M8" s="622"/>
      <c r="N8" s="622"/>
      <c r="O8" s="622"/>
    </row>
    <row r="9" spans="1:29" ht="12.75" x14ac:dyDescent="0.2">
      <c r="B9" s="137"/>
      <c r="C9" s="137"/>
      <c r="D9" s="138"/>
      <c r="E9" s="138"/>
      <c r="F9" s="138"/>
      <c r="G9" s="139"/>
      <c r="H9" s="82" t="s">
        <v>4</v>
      </c>
      <c r="I9" s="82" t="s">
        <v>133</v>
      </c>
      <c r="J9" s="137"/>
      <c r="K9" s="82"/>
      <c r="L9" s="82"/>
      <c r="M9" s="82"/>
      <c r="N9" s="137"/>
      <c r="O9" s="137"/>
      <c r="P9" s="532"/>
      <c r="Q9" s="532"/>
      <c r="R9" s="532"/>
      <c r="S9" s="532"/>
      <c r="T9" s="532"/>
      <c r="U9" s="532"/>
      <c r="V9" s="532"/>
      <c r="W9" s="532"/>
      <c r="X9" s="532"/>
      <c r="Y9" s="532"/>
      <c r="Z9" s="532"/>
      <c r="AA9" s="532"/>
      <c r="AB9" s="532"/>
      <c r="AC9" s="532"/>
    </row>
    <row r="10" spans="1:29" ht="12.75" x14ac:dyDescent="0.2">
      <c r="B10" s="74"/>
      <c r="C10" s="74"/>
      <c r="D10" s="79"/>
      <c r="E10" s="79"/>
      <c r="F10" s="75" t="s">
        <v>5</v>
      </c>
      <c r="G10" s="140"/>
      <c r="H10" s="75" t="s">
        <v>6</v>
      </c>
      <c r="I10" s="75" t="s">
        <v>135</v>
      </c>
      <c r="J10" s="74"/>
      <c r="K10" s="75"/>
      <c r="L10" s="75"/>
      <c r="M10" s="75"/>
      <c r="N10" s="75" t="s">
        <v>134</v>
      </c>
      <c r="O10" s="74"/>
      <c r="P10" s="532"/>
      <c r="Q10" s="532"/>
      <c r="R10" s="532"/>
      <c r="S10" s="532"/>
      <c r="T10" s="532"/>
      <c r="U10" s="532"/>
      <c r="V10" s="532"/>
      <c r="W10" s="532"/>
      <c r="X10" s="532"/>
      <c r="Y10" s="532"/>
      <c r="Z10" s="532"/>
      <c r="AA10" s="532"/>
      <c r="AB10" s="532"/>
      <c r="AC10" s="532"/>
    </row>
    <row r="11" spans="1:29" ht="12.75" x14ac:dyDescent="0.2">
      <c r="B11" s="75" t="s">
        <v>7</v>
      </c>
      <c r="C11" s="77" t="s">
        <v>136</v>
      </c>
      <c r="D11" s="75" t="s">
        <v>137</v>
      </c>
      <c r="E11" s="75" t="s">
        <v>8</v>
      </c>
      <c r="F11" s="75" t="s">
        <v>9</v>
      </c>
      <c r="G11" s="141" t="s">
        <v>10</v>
      </c>
      <c r="H11" s="75" t="s">
        <v>138</v>
      </c>
      <c r="I11" s="75" t="s">
        <v>140</v>
      </c>
      <c r="J11" s="75" t="s">
        <v>11</v>
      </c>
      <c r="K11" s="75" t="s">
        <v>148</v>
      </c>
      <c r="L11" s="75" t="s">
        <v>150</v>
      </c>
      <c r="M11" s="75" t="s">
        <v>151</v>
      </c>
      <c r="N11" s="75" t="s">
        <v>139</v>
      </c>
      <c r="O11" s="75" t="s">
        <v>12</v>
      </c>
      <c r="P11" s="532"/>
      <c r="Q11" s="532"/>
      <c r="R11" s="532"/>
      <c r="S11" s="532"/>
      <c r="T11" s="532"/>
      <c r="U11" s="532"/>
      <c r="V11" s="532"/>
      <c r="W11" s="532"/>
      <c r="X11" s="532"/>
      <c r="Y11" s="532"/>
      <c r="Z11" s="532"/>
      <c r="AA11" s="532"/>
      <c r="AB11" s="532"/>
      <c r="AC11" s="532"/>
    </row>
    <row r="12" spans="1:29" ht="12.75" x14ac:dyDescent="0.2">
      <c r="B12" s="75" t="s">
        <v>13</v>
      </c>
      <c r="C12" s="77" t="s">
        <v>16</v>
      </c>
      <c r="D12" s="75" t="s">
        <v>141</v>
      </c>
      <c r="E12" s="75" t="s">
        <v>17</v>
      </c>
      <c r="F12" s="75" t="s">
        <v>18</v>
      </c>
      <c r="G12" s="141" t="s">
        <v>16</v>
      </c>
      <c r="H12" s="75" t="s">
        <v>142</v>
      </c>
      <c r="I12" s="75" t="s">
        <v>144</v>
      </c>
      <c r="J12" s="75" t="s">
        <v>19</v>
      </c>
      <c r="K12" s="75" t="s">
        <v>149</v>
      </c>
      <c r="L12" s="75" t="s">
        <v>154</v>
      </c>
      <c r="M12" s="75" t="s">
        <v>152</v>
      </c>
      <c r="N12" s="75" t="s">
        <v>143</v>
      </c>
      <c r="O12" s="75" t="s">
        <v>20</v>
      </c>
      <c r="P12" s="532"/>
      <c r="Q12" s="532"/>
      <c r="R12" s="532"/>
      <c r="S12" s="532"/>
      <c r="T12" s="532"/>
      <c r="U12" s="532"/>
      <c r="V12" s="532"/>
      <c r="W12" s="532"/>
      <c r="X12" s="532"/>
      <c r="Y12" s="532"/>
      <c r="Z12" s="532"/>
      <c r="AA12" s="532"/>
      <c r="AB12" s="532"/>
      <c r="AC12" s="532"/>
    </row>
    <row r="13" spans="1:29" ht="12.75" x14ac:dyDescent="0.2">
      <c r="B13" s="254"/>
      <c r="C13" s="78" t="s">
        <v>21</v>
      </c>
      <c r="D13" s="80"/>
      <c r="E13" s="80"/>
      <c r="F13" s="80"/>
      <c r="G13" s="142" t="s">
        <v>21</v>
      </c>
      <c r="H13" s="81" t="s">
        <v>21</v>
      </c>
      <c r="I13" s="81" t="s">
        <v>145</v>
      </c>
      <c r="J13" s="76"/>
      <c r="K13" s="81" t="s">
        <v>245</v>
      </c>
      <c r="L13" s="81"/>
      <c r="M13" s="81" t="s">
        <v>145</v>
      </c>
      <c r="N13" s="76"/>
      <c r="O13" s="76"/>
      <c r="P13" s="532"/>
      <c r="Q13" s="532"/>
      <c r="R13" s="532"/>
      <c r="S13" s="532"/>
      <c r="T13" s="532"/>
      <c r="U13" s="532"/>
      <c r="V13" s="532"/>
      <c r="W13" s="532"/>
      <c r="X13" s="532"/>
      <c r="Y13" s="532"/>
      <c r="Z13" s="532"/>
      <c r="AA13" s="532"/>
      <c r="AB13" s="532"/>
      <c r="AC13" s="532"/>
    </row>
    <row r="14" spans="1:29" ht="12.75" x14ac:dyDescent="0.2">
      <c r="B14" s="573" t="s">
        <v>146</v>
      </c>
      <c r="C14" s="294"/>
      <c r="D14" s="295"/>
      <c r="E14" s="295"/>
      <c r="F14" s="295"/>
      <c r="G14" s="295"/>
      <c r="H14" s="295"/>
      <c r="I14" s="295"/>
      <c r="J14" s="295"/>
      <c r="K14" s="295"/>
      <c r="L14" s="295"/>
      <c r="M14" s="295"/>
      <c r="N14" s="295"/>
      <c r="O14" s="295"/>
      <c r="P14" s="532"/>
      <c r="Q14" s="532"/>
      <c r="R14" s="532"/>
      <c r="S14" s="532"/>
      <c r="T14" s="532"/>
      <c r="U14" s="532"/>
      <c r="V14" s="532"/>
      <c r="W14" s="532"/>
      <c r="X14" s="532"/>
      <c r="Y14" s="532"/>
      <c r="Z14" s="532"/>
      <c r="AA14" s="532"/>
      <c r="AB14" s="532"/>
      <c r="AC14" s="532"/>
    </row>
    <row r="15" spans="1:29" s="512" customFormat="1" ht="12.75" x14ac:dyDescent="0.2">
      <c r="A15" s="511"/>
      <c r="B15" s="535" t="s">
        <v>329</v>
      </c>
      <c r="C15" s="444">
        <v>20000</v>
      </c>
      <c r="D15" s="536">
        <v>5</v>
      </c>
      <c r="E15" s="536">
        <v>10</v>
      </c>
      <c r="F15" s="537">
        <v>200</v>
      </c>
      <c r="G15" s="448">
        <v>5000</v>
      </c>
      <c r="H15" s="537">
        <v>500</v>
      </c>
      <c r="I15" s="537">
        <v>1.2</v>
      </c>
      <c r="J15" s="537">
        <v>1.2</v>
      </c>
      <c r="K15" s="537"/>
      <c r="L15" s="537"/>
      <c r="M15" s="537"/>
      <c r="N15" s="537">
        <v>6.5</v>
      </c>
      <c r="O15" s="528"/>
      <c r="P15" s="511"/>
      <c r="Q15" s="511"/>
      <c r="R15" s="511"/>
      <c r="S15" s="511"/>
      <c r="T15" s="511"/>
      <c r="U15" s="511"/>
      <c r="V15" s="511"/>
      <c r="W15" s="511"/>
      <c r="X15" s="511"/>
      <c r="Y15" s="511"/>
      <c r="Z15" s="511"/>
      <c r="AA15" s="511"/>
      <c r="AB15" s="511"/>
      <c r="AC15" s="511"/>
    </row>
    <row r="16" spans="1:29" s="510" customFormat="1" ht="12.75" x14ac:dyDescent="0.2">
      <c r="A16" s="509"/>
      <c r="B16" s="535" t="s">
        <v>328</v>
      </c>
      <c r="C16" s="444">
        <v>220000</v>
      </c>
      <c r="D16" s="536">
        <v>5</v>
      </c>
      <c r="E16" s="536">
        <v>10</v>
      </c>
      <c r="F16" s="537">
        <v>575</v>
      </c>
      <c r="G16" s="448">
        <v>75000</v>
      </c>
      <c r="H16" s="538">
        <v>3000</v>
      </c>
      <c r="I16" s="537">
        <v>1.2</v>
      </c>
      <c r="J16" s="537">
        <v>1.1000000000000001</v>
      </c>
      <c r="K16" s="538"/>
      <c r="L16" s="538"/>
      <c r="M16" s="538"/>
      <c r="N16" s="537">
        <v>9</v>
      </c>
      <c r="O16" s="146"/>
      <c r="P16" s="509"/>
      <c r="Q16" s="509"/>
      <c r="R16" s="509"/>
      <c r="S16" s="509"/>
      <c r="T16" s="509"/>
      <c r="U16" s="509"/>
      <c r="V16" s="509"/>
      <c r="W16" s="509"/>
      <c r="X16" s="509"/>
      <c r="Y16" s="509"/>
      <c r="Z16" s="509"/>
      <c r="AA16" s="509"/>
      <c r="AB16" s="509"/>
      <c r="AC16" s="509"/>
    </row>
    <row r="17" spans="1:29" ht="12.75" x14ac:dyDescent="0.2">
      <c r="B17" s="431" t="s">
        <v>165</v>
      </c>
      <c r="C17" s="445">
        <v>7000</v>
      </c>
      <c r="D17" s="432">
        <v>5</v>
      </c>
      <c r="E17" s="432">
        <v>10</v>
      </c>
      <c r="F17" s="433">
        <v>200</v>
      </c>
      <c r="G17" s="449">
        <v>2000</v>
      </c>
      <c r="H17" s="434">
        <v>100</v>
      </c>
      <c r="I17" s="433">
        <v>1.2</v>
      </c>
      <c r="J17" s="433">
        <v>1.2</v>
      </c>
      <c r="K17" s="434"/>
      <c r="L17" s="434"/>
      <c r="M17" s="434"/>
      <c r="N17" s="433">
        <v>1.2</v>
      </c>
      <c r="O17" s="433">
        <v>10</v>
      </c>
      <c r="P17" s="532"/>
      <c r="Q17" s="532"/>
      <c r="R17" s="532"/>
      <c r="S17" s="532"/>
      <c r="T17" s="532"/>
      <c r="U17" s="532"/>
      <c r="V17" s="532"/>
      <c r="W17" s="532"/>
      <c r="X17" s="532"/>
      <c r="Y17" s="532"/>
      <c r="Z17" s="532"/>
      <c r="AA17" s="532"/>
      <c r="AB17" s="532"/>
      <c r="AC17" s="532"/>
    </row>
    <row r="18" spans="1:29" ht="12.75" x14ac:dyDescent="0.2">
      <c r="B18" s="439" t="s">
        <v>22</v>
      </c>
      <c r="C18" s="440"/>
      <c r="D18" s="440"/>
      <c r="E18" s="440"/>
      <c r="F18" s="441"/>
      <c r="G18" s="442"/>
      <c r="H18" s="441"/>
      <c r="I18" s="441"/>
      <c r="J18" s="441"/>
      <c r="K18" s="441"/>
      <c r="L18" s="441"/>
      <c r="M18" s="441"/>
      <c r="N18" s="441"/>
      <c r="O18" s="443"/>
      <c r="P18" s="532"/>
      <c r="Q18" s="532"/>
      <c r="R18" s="532"/>
      <c r="S18" s="532"/>
      <c r="T18" s="532"/>
      <c r="U18" s="532"/>
      <c r="V18" s="532"/>
      <c r="W18" s="532"/>
      <c r="X18" s="532"/>
      <c r="Y18" s="532"/>
      <c r="Z18" s="532"/>
      <c r="AA18" s="532"/>
      <c r="AB18" s="532"/>
      <c r="AC18" s="532"/>
    </row>
    <row r="19" spans="1:29" s="510" customFormat="1" ht="12.75" x14ac:dyDescent="0.2">
      <c r="A19" s="509"/>
      <c r="B19" s="435" t="s">
        <v>361</v>
      </c>
      <c r="C19" s="446">
        <v>200000</v>
      </c>
      <c r="D19" s="436">
        <v>5</v>
      </c>
      <c r="E19" s="436">
        <v>15</v>
      </c>
      <c r="F19" s="529">
        <v>70</v>
      </c>
      <c r="G19" s="529">
        <v>75000</v>
      </c>
      <c r="H19" s="435">
        <v>2000</v>
      </c>
      <c r="I19" s="435">
        <v>3.1</v>
      </c>
      <c r="J19" s="435">
        <v>1.2</v>
      </c>
      <c r="K19" s="435">
        <v>8</v>
      </c>
      <c r="L19" s="435">
        <v>90</v>
      </c>
      <c r="M19" s="435">
        <v>75</v>
      </c>
      <c r="N19" s="435">
        <v>3</v>
      </c>
      <c r="O19" s="438">
        <v>65.45</v>
      </c>
      <c r="P19" s="509"/>
      <c r="Q19" s="509"/>
      <c r="R19" s="509"/>
      <c r="S19" s="509"/>
      <c r="T19" s="509"/>
      <c r="U19" s="509"/>
      <c r="V19" s="509"/>
      <c r="W19" s="509"/>
      <c r="X19" s="509"/>
      <c r="Y19" s="509"/>
      <c r="Z19" s="509"/>
      <c r="AA19" s="509"/>
      <c r="AB19" s="509"/>
      <c r="AC19" s="509"/>
    </row>
    <row r="20" spans="1:29" ht="12.75" x14ac:dyDescent="0.2">
      <c r="B20" s="534" t="s">
        <v>335</v>
      </c>
      <c r="C20" s="447">
        <v>30000</v>
      </c>
      <c r="D20" s="536">
        <v>5</v>
      </c>
      <c r="E20" s="536">
        <v>15</v>
      </c>
      <c r="F20" s="548">
        <v>100</v>
      </c>
      <c r="G20" s="448">
        <v>10000</v>
      </c>
      <c r="H20" s="534">
        <v>1700</v>
      </c>
      <c r="I20" s="534">
        <v>0.6</v>
      </c>
      <c r="J20" s="534">
        <v>1.1000000000000001</v>
      </c>
      <c r="K20" s="534">
        <v>5.5</v>
      </c>
      <c r="L20" s="534">
        <v>90</v>
      </c>
      <c r="M20" s="534">
        <v>60</v>
      </c>
      <c r="N20" s="534">
        <v>9</v>
      </c>
      <c r="O20" s="296">
        <v>36</v>
      </c>
      <c r="P20" s="532"/>
      <c r="Q20" s="532"/>
      <c r="R20" s="532"/>
      <c r="S20" s="532"/>
      <c r="T20" s="532"/>
      <c r="U20" s="532"/>
      <c r="V20" s="532"/>
      <c r="W20" s="532"/>
      <c r="X20" s="532"/>
      <c r="Y20" s="532"/>
      <c r="Z20" s="532"/>
      <c r="AA20" s="532"/>
      <c r="AB20" s="532"/>
      <c r="AC20" s="532"/>
    </row>
    <row r="21" spans="1:29" ht="12.75" x14ac:dyDescent="0.2">
      <c r="B21" s="534" t="s">
        <v>480</v>
      </c>
      <c r="C21" s="447">
        <v>15000</v>
      </c>
      <c r="D21" s="536">
        <v>5</v>
      </c>
      <c r="E21" s="536">
        <v>15</v>
      </c>
      <c r="F21" s="548">
        <v>125</v>
      </c>
      <c r="G21" s="448">
        <v>3500</v>
      </c>
      <c r="H21" s="534">
        <v>850</v>
      </c>
      <c r="I21" s="534">
        <v>0.6</v>
      </c>
      <c r="J21" s="534">
        <v>1.1000000000000001</v>
      </c>
      <c r="K21" s="534">
        <v>4</v>
      </c>
      <c r="L21" s="534">
        <v>48</v>
      </c>
      <c r="M21" s="534">
        <v>80</v>
      </c>
      <c r="N21" s="534">
        <v>9</v>
      </c>
      <c r="O21" s="296">
        <v>18.62</v>
      </c>
      <c r="P21" s="532"/>
      <c r="Q21" s="532"/>
      <c r="R21" s="532"/>
      <c r="S21" s="532"/>
      <c r="T21" s="532"/>
      <c r="U21" s="532"/>
      <c r="V21" s="532"/>
      <c r="W21" s="532"/>
      <c r="X21" s="532"/>
      <c r="Y21" s="532"/>
      <c r="Z21" s="532"/>
      <c r="AA21" s="532"/>
      <c r="AB21" s="532"/>
      <c r="AC21" s="532"/>
    </row>
    <row r="22" spans="1:29" ht="12.75" x14ac:dyDescent="0.2">
      <c r="B22" s="435" t="s">
        <v>330</v>
      </c>
      <c r="C22" s="446">
        <v>30000</v>
      </c>
      <c r="D22" s="436">
        <v>5</v>
      </c>
      <c r="E22" s="436">
        <v>15</v>
      </c>
      <c r="F22" s="437">
        <v>80</v>
      </c>
      <c r="G22" s="450">
        <v>10000</v>
      </c>
      <c r="H22" s="435">
        <v>1000</v>
      </c>
      <c r="I22" s="435">
        <v>2.5</v>
      </c>
      <c r="J22" s="435">
        <v>1.1000000000000001</v>
      </c>
      <c r="K22" s="435">
        <v>6</v>
      </c>
      <c r="L22" s="435">
        <v>26</v>
      </c>
      <c r="M22" s="435">
        <v>80</v>
      </c>
      <c r="N22" s="435">
        <v>9</v>
      </c>
      <c r="O22" s="438">
        <v>15.13</v>
      </c>
      <c r="P22" s="532"/>
      <c r="Q22" s="532"/>
      <c r="R22" s="532"/>
      <c r="S22" s="532"/>
      <c r="T22" s="532"/>
      <c r="U22" s="532"/>
      <c r="V22" s="532"/>
      <c r="W22" s="532"/>
      <c r="X22" s="532"/>
      <c r="Y22" s="532"/>
      <c r="Z22" s="532"/>
      <c r="AA22" s="532"/>
      <c r="AB22" s="532"/>
      <c r="AC22" s="532"/>
    </row>
    <row r="23" spans="1:29" ht="12.75" x14ac:dyDescent="0.2">
      <c r="B23" s="534" t="s">
        <v>333</v>
      </c>
      <c r="C23" s="447">
        <v>30000</v>
      </c>
      <c r="D23" s="536">
        <v>5</v>
      </c>
      <c r="E23" s="536">
        <v>15</v>
      </c>
      <c r="F23" s="548">
        <v>60</v>
      </c>
      <c r="G23" s="448">
        <v>15000</v>
      </c>
      <c r="H23" s="534">
        <v>1650</v>
      </c>
      <c r="I23" s="534">
        <v>0.6</v>
      </c>
      <c r="J23" s="534">
        <v>1.1000000000000001</v>
      </c>
      <c r="K23" s="534">
        <v>6</v>
      </c>
      <c r="L23" s="534">
        <v>34</v>
      </c>
      <c r="M23" s="534">
        <v>80</v>
      </c>
      <c r="N23" s="534">
        <v>9</v>
      </c>
      <c r="O23" s="296">
        <v>20</v>
      </c>
      <c r="P23" s="532"/>
      <c r="Q23" s="532"/>
      <c r="R23" s="532"/>
      <c r="S23" s="532"/>
      <c r="T23" s="532"/>
      <c r="U23" s="532"/>
      <c r="V23" s="532"/>
      <c r="W23" s="532"/>
      <c r="X23" s="532"/>
      <c r="Y23" s="532"/>
      <c r="Z23" s="532"/>
      <c r="AA23" s="532"/>
      <c r="AB23" s="532"/>
      <c r="AC23" s="532"/>
    </row>
    <row r="24" spans="1:29" s="510" customFormat="1" ht="12.75" x14ac:dyDescent="0.2">
      <c r="A24" s="509"/>
      <c r="B24" s="534" t="s">
        <v>363</v>
      </c>
      <c r="C24" s="447">
        <v>18000</v>
      </c>
      <c r="D24" s="536">
        <v>5</v>
      </c>
      <c r="E24" s="536">
        <v>15</v>
      </c>
      <c r="F24" s="548">
        <v>100</v>
      </c>
      <c r="G24" s="448">
        <v>3000</v>
      </c>
      <c r="H24" s="534">
        <v>500</v>
      </c>
      <c r="I24" s="534">
        <v>0.6</v>
      </c>
      <c r="J24" s="534">
        <v>1.1000000000000001</v>
      </c>
      <c r="K24" s="534">
        <v>5</v>
      </c>
      <c r="L24" s="534">
        <v>48</v>
      </c>
      <c r="M24" s="534">
        <v>85</v>
      </c>
      <c r="N24" s="534">
        <v>9</v>
      </c>
      <c r="O24" s="296">
        <v>24.73</v>
      </c>
      <c r="P24" s="509"/>
      <c r="Q24" s="509"/>
      <c r="R24" s="509"/>
      <c r="S24" s="509"/>
      <c r="T24" s="509"/>
      <c r="U24" s="509"/>
      <c r="V24" s="509"/>
      <c r="W24" s="509"/>
      <c r="X24" s="509"/>
      <c r="Y24" s="509"/>
      <c r="Z24" s="509"/>
      <c r="AA24" s="509"/>
      <c r="AB24" s="509"/>
      <c r="AC24" s="509"/>
    </row>
    <row r="25" spans="1:29" ht="12.75" x14ac:dyDescent="0.2">
      <c r="B25" s="534" t="s">
        <v>564</v>
      </c>
      <c r="C25" s="447">
        <v>18500</v>
      </c>
      <c r="D25" s="536">
        <v>5</v>
      </c>
      <c r="E25" s="536">
        <v>15</v>
      </c>
      <c r="F25" s="548">
        <v>160</v>
      </c>
      <c r="G25" s="448">
        <v>4000</v>
      </c>
      <c r="H25" s="534">
        <v>1000</v>
      </c>
      <c r="I25" s="534">
        <v>0.6</v>
      </c>
      <c r="J25" s="534">
        <v>1.1000000000000001</v>
      </c>
      <c r="K25" s="534">
        <v>4</v>
      </c>
      <c r="L25" s="534">
        <v>35</v>
      </c>
      <c r="M25" s="534">
        <v>85</v>
      </c>
      <c r="N25" s="534">
        <v>9</v>
      </c>
      <c r="O25" s="296">
        <v>14.4</v>
      </c>
      <c r="P25" s="532"/>
      <c r="Q25" s="532"/>
      <c r="R25" s="532"/>
      <c r="S25" s="532"/>
      <c r="T25" s="532"/>
      <c r="U25" s="532"/>
      <c r="V25" s="532"/>
      <c r="W25" s="532"/>
      <c r="X25" s="532"/>
      <c r="Y25" s="532"/>
      <c r="Z25" s="532"/>
      <c r="AA25" s="532"/>
      <c r="AB25" s="532"/>
      <c r="AC25" s="532"/>
    </row>
    <row r="26" spans="1:29" ht="12.75" x14ac:dyDescent="0.2">
      <c r="B26" s="534" t="s">
        <v>332</v>
      </c>
      <c r="C26" s="447">
        <v>18000</v>
      </c>
      <c r="D26" s="536">
        <v>5</v>
      </c>
      <c r="E26" s="536">
        <v>15</v>
      </c>
      <c r="F26" s="548">
        <v>125</v>
      </c>
      <c r="G26" s="448">
        <v>3000</v>
      </c>
      <c r="H26" s="534">
        <v>500</v>
      </c>
      <c r="I26" s="534">
        <v>0.6</v>
      </c>
      <c r="J26" s="534">
        <v>1.1000000000000001</v>
      </c>
      <c r="K26" s="534">
        <v>5</v>
      </c>
      <c r="L26" s="534">
        <v>36</v>
      </c>
      <c r="M26" s="534">
        <v>85</v>
      </c>
      <c r="N26" s="534">
        <v>9</v>
      </c>
      <c r="O26" s="296">
        <v>18.55</v>
      </c>
      <c r="P26" s="532"/>
      <c r="Q26" s="532"/>
      <c r="R26" s="532"/>
      <c r="S26" s="532"/>
      <c r="T26" s="532"/>
      <c r="U26" s="532"/>
      <c r="V26" s="532"/>
      <c r="W26" s="532"/>
      <c r="X26" s="532"/>
      <c r="Y26" s="532"/>
      <c r="Z26" s="532"/>
      <c r="AA26" s="532"/>
      <c r="AB26" s="532"/>
      <c r="AC26" s="532"/>
    </row>
    <row r="27" spans="1:29" ht="12.75" x14ac:dyDescent="0.2">
      <c r="B27" s="534" t="s">
        <v>461</v>
      </c>
      <c r="C27" s="447">
        <v>9000</v>
      </c>
      <c r="D27" s="536">
        <v>5</v>
      </c>
      <c r="E27" s="536">
        <v>15</v>
      </c>
      <c r="F27" s="548">
        <v>80</v>
      </c>
      <c r="G27" s="448">
        <v>1500</v>
      </c>
      <c r="H27" s="534">
        <v>550</v>
      </c>
      <c r="I27" s="534">
        <v>0.6</v>
      </c>
      <c r="J27" s="534">
        <v>1.1000000000000001</v>
      </c>
      <c r="K27" s="534">
        <v>6</v>
      </c>
      <c r="L27" s="534">
        <v>48</v>
      </c>
      <c r="M27" s="534">
        <v>85</v>
      </c>
      <c r="N27" s="534">
        <v>9</v>
      </c>
      <c r="O27" s="296">
        <v>29.67</v>
      </c>
      <c r="P27" s="532"/>
      <c r="Q27" s="532"/>
      <c r="R27" s="532"/>
      <c r="S27" s="532"/>
      <c r="T27" s="532"/>
      <c r="U27" s="532"/>
      <c r="V27" s="532"/>
      <c r="W27" s="532"/>
      <c r="X27" s="532"/>
      <c r="Y27" s="532"/>
      <c r="Z27" s="532"/>
      <c r="AA27" s="532"/>
      <c r="AB27" s="532"/>
      <c r="AC27" s="532"/>
    </row>
    <row r="28" spans="1:29" ht="12.75" x14ac:dyDescent="0.2">
      <c r="B28" s="144" t="s">
        <v>334</v>
      </c>
      <c r="C28" s="444">
        <v>40000</v>
      </c>
      <c r="D28" s="145">
        <v>5</v>
      </c>
      <c r="E28" s="145">
        <v>15</v>
      </c>
      <c r="F28" s="146">
        <v>200</v>
      </c>
      <c r="G28" s="448">
        <v>20000</v>
      </c>
      <c r="H28" s="147">
        <v>2000</v>
      </c>
      <c r="I28" s="451">
        <v>3</v>
      </c>
      <c r="J28" s="146">
        <v>1.1000000000000001</v>
      </c>
      <c r="K28" s="147">
        <v>3.5</v>
      </c>
      <c r="L28" s="147">
        <v>36</v>
      </c>
      <c r="M28" s="147">
        <v>70</v>
      </c>
      <c r="N28" s="146">
        <v>9</v>
      </c>
      <c r="O28" s="296">
        <v>12.22</v>
      </c>
      <c r="P28" s="532"/>
      <c r="Q28" s="532"/>
      <c r="R28" s="532"/>
      <c r="S28" s="532"/>
      <c r="T28" s="532"/>
      <c r="U28" s="532"/>
      <c r="V28" s="532"/>
      <c r="W28" s="532"/>
      <c r="X28" s="532"/>
      <c r="Y28" s="532"/>
      <c r="Z28" s="532"/>
      <c r="AA28" s="532"/>
      <c r="AB28" s="532"/>
      <c r="AC28" s="532"/>
    </row>
    <row r="29" spans="1:29" ht="12.75" x14ac:dyDescent="0.2">
      <c r="B29" s="144" t="s">
        <v>156</v>
      </c>
      <c r="C29" s="444">
        <v>125000</v>
      </c>
      <c r="D29" s="145">
        <v>5</v>
      </c>
      <c r="E29" s="145">
        <v>10</v>
      </c>
      <c r="F29" s="146">
        <v>200</v>
      </c>
      <c r="G29" s="448">
        <v>60000</v>
      </c>
      <c r="H29" s="147">
        <v>6000</v>
      </c>
      <c r="I29" s="146">
        <v>2.6</v>
      </c>
      <c r="J29" s="146">
        <v>1.2</v>
      </c>
      <c r="K29" s="147" t="s">
        <v>420</v>
      </c>
      <c r="L29" s="147">
        <v>30</v>
      </c>
      <c r="M29" s="147">
        <v>90</v>
      </c>
      <c r="N29" s="146">
        <v>7</v>
      </c>
      <c r="O29" s="296" t="s">
        <v>463</v>
      </c>
      <c r="P29" s="532"/>
      <c r="Q29" s="532"/>
      <c r="R29" s="532"/>
      <c r="S29" s="532"/>
      <c r="T29" s="532"/>
      <c r="U29" s="532"/>
      <c r="V29" s="532"/>
      <c r="W29" s="532"/>
      <c r="X29" s="532"/>
      <c r="Y29" s="532"/>
      <c r="Z29" s="532"/>
      <c r="AA29" s="532"/>
      <c r="AB29" s="532"/>
      <c r="AC29" s="532"/>
    </row>
    <row r="30" spans="1:29" ht="12.75" x14ac:dyDescent="0.2">
      <c r="B30" s="144" t="s">
        <v>362</v>
      </c>
      <c r="C30" s="444">
        <v>15000</v>
      </c>
      <c r="D30" s="145">
        <v>5</v>
      </c>
      <c r="E30" s="145">
        <v>15</v>
      </c>
      <c r="F30" s="146">
        <v>180</v>
      </c>
      <c r="G30" s="448">
        <v>3000</v>
      </c>
      <c r="H30" s="147">
        <v>500</v>
      </c>
      <c r="I30" s="146">
        <v>0.6</v>
      </c>
      <c r="J30" s="146">
        <v>1.1000000000000001</v>
      </c>
      <c r="K30" s="147"/>
      <c r="L30" s="147"/>
      <c r="M30" s="147"/>
      <c r="N30" s="146"/>
      <c r="O30" s="296">
        <v>13</v>
      </c>
      <c r="P30" s="532"/>
      <c r="Q30" s="532"/>
      <c r="R30" s="532"/>
      <c r="S30" s="532"/>
      <c r="T30" s="532"/>
      <c r="U30" s="532"/>
      <c r="V30" s="532"/>
      <c r="W30" s="532"/>
      <c r="X30" s="532"/>
      <c r="Y30" s="532"/>
      <c r="Z30" s="532"/>
      <c r="AA30" s="532"/>
      <c r="AB30" s="532"/>
      <c r="AC30" s="532"/>
    </row>
    <row r="31" spans="1:29" ht="12.75" x14ac:dyDescent="0.2">
      <c r="B31" s="148" t="s">
        <v>23</v>
      </c>
      <c r="C31" s="286"/>
      <c r="D31" s="287"/>
      <c r="E31" s="287"/>
      <c r="F31" s="149" t="s">
        <v>24</v>
      </c>
      <c r="G31" s="143"/>
      <c r="H31" s="150"/>
      <c r="I31" s="288"/>
      <c r="J31" s="288"/>
      <c r="K31" s="150"/>
      <c r="L31" s="150" t="s">
        <v>147</v>
      </c>
      <c r="M31" s="150"/>
      <c r="N31" s="288"/>
      <c r="O31" s="151" t="s">
        <v>241</v>
      </c>
      <c r="P31" s="532"/>
      <c r="Q31" s="532"/>
      <c r="R31" s="532"/>
      <c r="S31" s="532"/>
      <c r="T31" s="532"/>
      <c r="U31" s="532"/>
      <c r="V31" s="532"/>
      <c r="W31" s="532"/>
      <c r="X31" s="532"/>
      <c r="Y31" s="532"/>
      <c r="Z31" s="532"/>
      <c r="AA31" s="532"/>
      <c r="AB31" s="532"/>
      <c r="AC31" s="532"/>
    </row>
    <row r="32" spans="1:29" ht="12.75" x14ac:dyDescent="0.2">
      <c r="B32" s="152" t="s">
        <v>159</v>
      </c>
      <c r="C32" s="448">
        <v>35000</v>
      </c>
      <c r="D32" s="153">
        <v>5</v>
      </c>
      <c r="E32" s="153">
        <v>15</v>
      </c>
      <c r="F32" s="152">
        <v>1500</v>
      </c>
      <c r="G32" s="448">
        <v>14500</v>
      </c>
      <c r="H32" s="152">
        <v>2000</v>
      </c>
      <c r="I32" s="289">
        <v>10.1</v>
      </c>
      <c r="J32" s="152">
        <v>1.2</v>
      </c>
      <c r="K32" s="152"/>
      <c r="L32" s="152">
        <v>6</v>
      </c>
      <c r="M32" s="153"/>
      <c r="N32" s="146">
        <v>6</v>
      </c>
      <c r="O32" s="146">
        <v>0.43</v>
      </c>
      <c r="P32" s="532"/>
      <c r="Q32" s="532"/>
      <c r="R32" s="532"/>
      <c r="S32" s="532"/>
      <c r="T32" s="532"/>
      <c r="U32" s="532"/>
      <c r="V32" s="532"/>
      <c r="W32" s="532"/>
      <c r="X32" s="532"/>
      <c r="Y32" s="532"/>
      <c r="Z32" s="532"/>
      <c r="AA32" s="532"/>
      <c r="AB32" s="532"/>
      <c r="AC32" s="532"/>
    </row>
    <row r="33" spans="2:29" ht="12.75" x14ac:dyDescent="0.2">
      <c r="B33" s="152" t="s">
        <v>159</v>
      </c>
      <c r="C33" s="448">
        <v>35000</v>
      </c>
      <c r="D33" s="153">
        <v>5</v>
      </c>
      <c r="E33" s="153">
        <v>15</v>
      </c>
      <c r="F33" s="152">
        <v>1500</v>
      </c>
      <c r="G33" s="448">
        <v>14500</v>
      </c>
      <c r="H33" s="152">
        <v>2000</v>
      </c>
      <c r="I33" s="289">
        <v>10.1</v>
      </c>
      <c r="J33" s="152">
        <v>1.2</v>
      </c>
      <c r="K33" s="152"/>
      <c r="L33" s="152">
        <v>6</v>
      </c>
      <c r="M33" s="153"/>
      <c r="N33" s="146">
        <v>6</v>
      </c>
      <c r="O33" s="146">
        <v>0.43</v>
      </c>
      <c r="P33" s="532"/>
      <c r="Q33" s="532"/>
      <c r="R33" s="532"/>
      <c r="S33" s="532"/>
      <c r="T33" s="532"/>
      <c r="U33" s="532"/>
      <c r="V33" s="532"/>
      <c r="W33" s="532"/>
      <c r="X33" s="532"/>
      <c r="Y33" s="532"/>
      <c r="Z33" s="532"/>
      <c r="AA33" s="532"/>
      <c r="AB33" s="532"/>
      <c r="AC33" s="532"/>
    </row>
    <row r="34" spans="2:29" ht="12.75" x14ac:dyDescent="0.2">
      <c r="B34" s="152" t="s">
        <v>158</v>
      </c>
      <c r="C34" s="448">
        <v>20000</v>
      </c>
      <c r="D34" s="153">
        <v>5</v>
      </c>
      <c r="E34" s="153">
        <v>15</v>
      </c>
      <c r="F34" s="152">
        <v>1000</v>
      </c>
      <c r="G34" s="448">
        <f>0.45*C34</f>
        <v>9000</v>
      </c>
      <c r="H34" s="152">
        <v>1000</v>
      </c>
      <c r="I34" s="289">
        <v>2.6</v>
      </c>
      <c r="J34" s="152">
        <v>1.2</v>
      </c>
      <c r="K34" s="152"/>
      <c r="L34" s="152">
        <v>6</v>
      </c>
      <c r="M34" s="153"/>
      <c r="N34" s="146">
        <v>6</v>
      </c>
      <c r="O34" s="146">
        <v>0.28999999999999998</v>
      </c>
      <c r="P34" s="532"/>
      <c r="Q34" s="532"/>
      <c r="R34" s="532"/>
      <c r="S34" s="532"/>
      <c r="T34" s="532"/>
      <c r="U34" s="532"/>
      <c r="V34" s="532"/>
      <c r="W34" s="532"/>
      <c r="X34" s="532"/>
      <c r="Y34" s="532"/>
      <c r="Z34" s="532"/>
      <c r="AA34" s="532"/>
      <c r="AB34" s="532"/>
      <c r="AC34" s="532"/>
    </row>
    <row r="35" spans="2:29" ht="12.75" x14ac:dyDescent="0.2">
      <c r="B35" s="152" t="s">
        <v>132</v>
      </c>
      <c r="C35" s="448">
        <v>15000</v>
      </c>
      <c r="D35" s="153">
        <v>5</v>
      </c>
      <c r="E35" s="153">
        <v>10</v>
      </c>
      <c r="F35" s="152">
        <v>1000</v>
      </c>
      <c r="G35" s="448">
        <v>3000</v>
      </c>
      <c r="H35" s="152">
        <v>400</v>
      </c>
      <c r="I35" s="289">
        <v>3.8</v>
      </c>
      <c r="J35" s="152">
        <v>1.2</v>
      </c>
      <c r="K35" s="152"/>
      <c r="L35" s="152">
        <v>12</v>
      </c>
      <c r="M35" s="153"/>
      <c r="N35" s="146">
        <v>12</v>
      </c>
      <c r="O35" s="146">
        <v>0.28999999999999998</v>
      </c>
      <c r="P35" s="532"/>
      <c r="Q35" s="532"/>
      <c r="R35" s="532"/>
      <c r="S35" s="532"/>
      <c r="T35" s="532"/>
      <c r="U35" s="532"/>
      <c r="V35" s="532"/>
      <c r="W35" s="532"/>
      <c r="X35" s="532"/>
      <c r="Y35" s="532"/>
      <c r="Z35" s="532"/>
      <c r="AA35" s="532"/>
      <c r="AB35" s="532"/>
      <c r="AC35" s="532"/>
    </row>
    <row r="36" spans="2:29" ht="12.75" x14ac:dyDescent="0.2">
      <c r="B36" s="152" t="s">
        <v>160</v>
      </c>
      <c r="C36" s="448">
        <v>34000</v>
      </c>
      <c r="D36" s="153">
        <v>5</v>
      </c>
      <c r="E36" s="153">
        <v>7</v>
      </c>
      <c r="F36" s="152">
        <v>12000</v>
      </c>
      <c r="G36" s="448">
        <v>13000</v>
      </c>
      <c r="H36" s="152">
        <v>600</v>
      </c>
      <c r="I36" s="289">
        <v>6.8</v>
      </c>
      <c r="J36" s="152">
        <v>1.2</v>
      </c>
      <c r="K36" s="152"/>
      <c r="L36" s="152">
        <v>12</v>
      </c>
      <c r="M36" s="153"/>
      <c r="N36" s="146">
        <v>12</v>
      </c>
      <c r="O36" s="146">
        <v>2.4</v>
      </c>
      <c r="P36" s="532"/>
      <c r="Q36" s="532"/>
      <c r="R36" s="532"/>
      <c r="S36" s="532"/>
      <c r="T36" s="532"/>
      <c r="U36" s="532"/>
      <c r="V36" s="532"/>
      <c r="W36" s="532"/>
      <c r="X36" s="532"/>
      <c r="Y36" s="532"/>
      <c r="Z36" s="532"/>
      <c r="AA36" s="532"/>
      <c r="AB36" s="532"/>
      <c r="AC36" s="532"/>
    </row>
    <row r="37" spans="2:29" s="532" customFormat="1" ht="15" customHeight="1" x14ac:dyDescent="0.2">
      <c r="B37" s="689" t="s">
        <v>516</v>
      </c>
      <c r="C37" s="689"/>
      <c r="D37" s="689"/>
      <c r="E37" s="689"/>
      <c r="F37" s="689"/>
      <c r="G37" s="689"/>
      <c r="H37" s="689"/>
      <c r="I37" s="689"/>
      <c r="J37" s="689"/>
      <c r="K37" s="689"/>
      <c r="L37" s="689"/>
      <c r="M37" s="689"/>
      <c r="N37" s="689"/>
      <c r="O37" s="689"/>
    </row>
    <row r="38" spans="2:29" s="532" customFormat="1" ht="15" customHeight="1" x14ac:dyDescent="0.2">
      <c r="B38" s="689"/>
      <c r="C38" s="689"/>
      <c r="D38" s="689"/>
      <c r="E38" s="689"/>
      <c r="F38" s="689"/>
      <c r="G38" s="689"/>
      <c r="H38" s="689"/>
      <c r="I38" s="689"/>
      <c r="J38" s="689"/>
      <c r="K38" s="689"/>
      <c r="L38" s="689"/>
      <c r="M38" s="689"/>
      <c r="N38" s="689"/>
      <c r="O38" s="689"/>
    </row>
    <row r="39" spans="2:29" s="154" customFormat="1" ht="12.75" x14ac:dyDescent="0.2">
      <c r="P39" s="532"/>
      <c r="Q39" s="532"/>
      <c r="R39" s="532"/>
      <c r="S39" s="532"/>
      <c r="T39" s="532"/>
      <c r="U39" s="532"/>
      <c r="V39" s="532"/>
      <c r="W39" s="532"/>
      <c r="X39" s="532"/>
      <c r="Y39" s="532"/>
      <c r="Z39" s="532"/>
      <c r="AA39" s="532"/>
      <c r="AB39" s="532"/>
      <c r="AC39" s="532"/>
    </row>
    <row r="40" spans="2:29" s="532" customFormat="1" ht="12.75" hidden="1" x14ac:dyDescent="0.2">
      <c r="D40" s="595" t="s">
        <v>468</v>
      </c>
    </row>
    <row r="41" spans="2:29" s="532" customFormat="1" ht="38.25" hidden="1" x14ac:dyDescent="0.2">
      <c r="B41" s="597" t="s">
        <v>469</v>
      </c>
      <c r="C41" s="533" t="s">
        <v>460</v>
      </c>
      <c r="D41" s="594" t="s">
        <v>467</v>
      </c>
      <c r="E41" s="594" t="s">
        <v>466</v>
      </c>
      <c r="F41" s="594" t="s">
        <v>465</v>
      </c>
      <c r="G41" s="594" t="s">
        <v>464</v>
      </c>
      <c r="H41" s="596" t="s">
        <v>471</v>
      </c>
      <c r="I41" s="596" t="s">
        <v>470</v>
      </c>
      <c r="J41" s="596" t="s">
        <v>475</v>
      </c>
    </row>
    <row r="42" spans="2:29" s="154" customFormat="1" ht="12.75" hidden="1" x14ac:dyDescent="0.2">
      <c r="B42" s="435" t="s">
        <v>361</v>
      </c>
      <c r="C42" s="154">
        <v>65.45</v>
      </c>
      <c r="D42" s="154">
        <v>1</v>
      </c>
      <c r="E42" s="154">
        <v>1</v>
      </c>
      <c r="F42" s="154">
        <v>1</v>
      </c>
      <c r="G42" s="154">
        <v>1</v>
      </c>
      <c r="H42" s="154">
        <v>4</v>
      </c>
      <c r="I42" s="549">
        <f>H42*(3500/3)</f>
        <v>4666.666666666667</v>
      </c>
      <c r="J42" s="549">
        <f>I42/C42</f>
        <v>71.301247771836003</v>
      </c>
      <c r="P42" s="532"/>
      <c r="Q42" s="532"/>
      <c r="R42" s="532"/>
      <c r="S42" s="532"/>
      <c r="T42" s="532"/>
      <c r="U42" s="532"/>
      <c r="V42" s="532"/>
      <c r="W42" s="532"/>
      <c r="X42" s="532"/>
      <c r="Y42" s="532"/>
      <c r="Z42" s="532"/>
      <c r="AA42" s="532"/>
      <c r="AB42" s="532"/>
      <c r="AC42" s="532"/>
    </row>
    <row r="43" spans="2:29" s="532" customFormat="1" ht="12.75" hidden="1" x14ac:dyDescent="0.2">
      <c r="B43" s="534" t="s">
        <v>335</v>
      </c>
      <c r="C43" s="532">
        <v>36</v>
      </c>
      <c r="D43" s="532">
        <v>1</v>
      </c>
      <c r="E43" s="532">
        <v>1</v>
      </c>
      <c r="F43" s="532">
        <v>1</v>
      </c>
      <c r="G43" s="532">
        <v>1</v>
      </c>
      <c r="H43" s="532">
        <v>3</v>
      </c>
      <c r="I43" s="549">
        <f t="shared" ref="I43:I53" si="0">H43*(3500/3)</f>
        <v>3500</v>
      </c>
      <c r="J43" s="549">
        <f t="shared" ref="J43:J53" si="1">I43/C43</f>
        <v>97.222222222222229</v>
      </c>
    </row>
    <row r="44" spans="2:29" s="532" customFormat="1" ht="12.75" hidden="1" x14ac:dyDescent="0.2">
      <c r="B44" s="534" t="s">
        <v>331</v>
      </c>
      <c r="C44" s="532">
        <v>18.62</v>
      </c>
      <c r="G44" s="532">
        <v>2</v>
      </c>
      <c r="H44" s="532">
        <v>2</v>
      </c>
      <c r="I44" s="549">
        <f t="shared" si="0"/>
        <v>2333.3333333333335</v>
      </c>
      <c r="J44" s="549">
        <f t="shared" si="1"/>
        <v>125.31328320802005</v>
      </c>
    </row>
    <row r="45" spans="2:29" s="532" customFormat="1" ht="12.75" hidden="1" x14ac:dyDescent="0.2">
      <c r="B45" s="435" t="s">
        <v>330</v>
      </c>
      <c r="C45" s="532">
        <v>15.13</v>
      </c>
      <c r="H45" s="532">
        <v>1</v>
      </c>
      <c r="I45" s="549">
        <f t="shared" si="0"/>
        <v>1166.6666666666667</v>
      </c>
      <c r="J45" s="549">
        <f t="shared" si="1"/>
        <v>77.109495483586699</v>
      </c>
    </row>
    <row r="46" spans="2:29" s="532" customFormat="1" ht="12.75" hidden="1" x14ac:dyDescent="0.2">
      <c r="B46" s="534" t="s">
        <v>333</v>
      </c>
      <c r="C46" s="532">
        <v>19.78</v>
      </c>
      <c r="H46" s="532">
        <v>1</v>
      </c>
      <c r="I46" s="549">
        <f t="shared" si="0"/>
        <v>1166.6666666666667</v>
      </c>
      <c r="J46" s="549">
        <f t="shared" si="1"/>
        <v>58.982136838557466</v>
      </c>
    </row>
    <row r="47" spans="2:29" s="532" customFormat="1" ht="12.75" hidden="1" x14ac:dyDescent="0.2">
      <c r="B47" s="534" t="s">
        <v>363</v>
      </c>
      <c r="C47" s="532">
        <v>24.73</v>
      </c>
      <c r="E47" s="532">
        <v>1</v>
      </c>
      <c r="F47" s="532">
        <v>1</v>
      </c>
      <c r="H47" s="532">
        <v>2</v>
      </c>
      <c r="I47" s="549">
        <f t="shared" si="0"/>
        <v>2333.3333333333335</v>
      </c>
      <c r="J47" s="549">
        <f t="shared" si="1"/>
        <v>94.352338590106484</v>
      </c>
    </row>
    <row r="48" spans="2:29" s="532" customFormat="1" ht="12.75" hidden="1" x14ac:dyDescent="0.2">
      <c r="B48" s="534" t="s">
        <v>419</v>
      </c>
      <c r="C48" s="532">
        <v>14.42</v>
      </c>
      <c r="E48" s="532">
        <v>1</v>
      </c>
      <c r="F48" s="532">
        <v>1</v>
      </c>
      <c r="G48" s="532">
        <v>1</v>
      </c>
      <c r="H48" s="532">
        <v>2</v>
      </c>
      <c r="I48" s="549">
        <f t="shared" si="0"/>
        <v>2333.3333333333335</v>
      </c>
      <c r="J48" s="549">
        <f t="shared" si="1"/>
        <v>161.81229773462783</v>
      </c>
    </row>
    <row r="49" spans="2:11" s="532" customFormat="1" ht="12.75" hidden="1" x14ac:dyDescent="0.2">
      <c r="B49" s="534" t="s">
        <v>332</v>
      </c>
      <c r="C49" s="532">
        <v>18.55</v>
      </c>
      <c r="H49" s="532">
        <v>2</v>
      </c>
      <c r="I49" s="549">
        <f t="shared" si="0"/>
        <v>2333.3333333333335</v>
      </c>
      <c r="J49" s="549">
        <f t="shared" si="1"/>
        <v>125.78616352201259</v>
      </c>
    </row>
    <row r="50" spans="2:11" s="532" customFormat="1" ht="12.75" hidden="1" x14ac:dyDescent="0.2">
      <c r="B50" s="534" t="s">
        <v>461</v>
      </c>
      <c r="C50" s="532">
        <v>29.67</v>
      </c>
      <c r="H50" s="532">
        <v>2</v>
      </c>
      <c r="I50" s="549">
        <f t="shared" si="0"/>
        <v>2333.3333333333335</v>
      </c>
      <c r="J50" s="549">
        <f t="shared" si="1"/>
        <v>78.642849118076626</v>
      </c>
    </row>
    <row r="51" spans="2:11" s="532" customFormat="1" ht="12.75" hidden="1" x14ac:dyDescent="0.2">
      <c r="B51" s="535" t="s">
        <v>334</v>
      </c>
      <c r="C51" s="532">
        <v>12.22</v>
      </c>
      <c r="D51" s="532">
        <v>1</v>
      </c>
      <c r="E51" s="532">
        <v>1</v>
      </c>
      <c r="F51" s="532">
        <v>1</v>
      </c>
      <c r="H51" s="532">
        <v>2</v>
      </c>
      <c r="I51" s="549">
        <f t="shared" si="0"/>
        <v>2333.3333333333335</v>
      </c>
      <c r="J51" s="549">
        <f t="shared" si="1"/>
        <v>190.94380796508457</v>
      </c>
    </row>
    <row r="52" spans="2:11" s="532" customFormat="1" ht="12.75" hidden="1" x14ac:dyDescent="0.2">
      <c r="B52" s="535" t="s">
        <v>156</v>
      </c>
      <c r="C52" s="532">
        <v>11.8</v>
      </c>
      <c r="D52" s="532">
        <v>1</v>
      </c>
      <c r="E52" s="532">
        <v>1</v>
      </c>
      <c r="F52" s="532">
        <v>1</v>
      </c>
      <c r="H52" s="532">
        <v>2</v>
      </c>
      <c r="I52" s="549">
        <f t="shared" si="0"/>
        <v>2333.3333333333335</v>
      </c>
      <c r="J52" s="549">
        <f t="shared" si="1"/>
        <v>197.74011299435028</v>
      </c>
    </row>
    <row r="53" spans="2:11" s="532" customFormat="1" ht="12.75" hidden="1" x14ac:dyDescent="0.2">
      <c r="B53" s="535" t="s">
        <v>362</v>
      </c>
      <c r="C53" s="532">
        <v>13</v>
      </c>
      <c r="D53" s="532">
        <v>1</v>
      </c>
      <c r="E53" s="532">
        <v>1</v>
      </c>
      <c r="F53" s="532">
        <v>1</v>
      </c>
      <c r="H53" s="532">
        <v>2</v>
      </c>
      <c r="I53" s="549">
        <f t="shared" si="0"/>
        <v>2333.3333333333335</v>
      </c>
      <c r="J53" s="549">
        <f t="shared" si="1"/>
        <v>179.4871794871795</v>
      </c>
    </row>
    <row r="54" spans="2:11" s="532" customFormat="1" ht="12.75" hidden="1" x14ac:dyDescent="0.2"/>
    <row r="55" spans="2:11" s="532" customFormat="1" ht="12.75" hidden="1" x14ac:dyDescent="0.2">
      <c r="B55" s="533" t="s">
        <v>472</v>
      </c>
      <c r="J55" s="549">
        <f>J43+J51+J48+J44</f>
        <v>575.29161112995462</v>
      </c>
      <c r="K55" s="533" t="s">
        <v>474</v>
      </c>
    </row>
    <row r="56" spans="2:11" s="532" customFormat="1" ht="12.75" hidden="1" x14ac:dyDescent="0.2">
      <c r="B56" s="533" t="s">
        <v>473</v>
      </c>
      <c r="J56" s="532">
        <v>180</v>
      </c>
    </row>
    <row r="57" spans="2:11" s="532" customFormat="1" ht="12.75" hidden="1" x14ac:dyDescent="0.2"/>
    <row r="58" spans="2:11" s="532" customFormat="1" ht="12.75" hidden="1" x14ac:dyDescent="0.2"/>
    <row r="59" spans="2:11" s="532" customFormat="1" ht="12.75" hidden="1" x14ac:dyDescent="0.2"/>
    <row r="60" spans="2:11" s="532" customFormat="1" ht="12.75" hidden="1" x14ac:dyDescent="0.2"/>
    <row r="61" spans="2:11" s="532" customFormat="1" ht="12.75" hidden="1" x14ac:dyDescent="0.2"/>
    <row r="62" spans="2:11" s="532" customFormat="1" ht="12.75" hidden="1" x14ac:dyDescent="0.2"/>
    <row r="63" spans="2:11" s="532" customFormat="1" ht="12.75" hidden="1" x14ac:dyDescent="0.2"/>
    <row r="64" spans="2:11" s="532" customFormat="1" ht="12.75" hidden="1" x14ac:dyDescent="0.2"/>
    <row r="65" spans="1:29" s="532" customFormat="1" ht="12.75" hidden="1" x14ac:dyDescent="0.2"/>
    <row r="66" spans="1:29" s="154" customFormat="1" ht="12.75" hidden="1" x14ac:dyDescent="0.2">
      <c r="P66" s="532"/>
      <c r="Q66" s="532"/>
      <c r="R66" s="532"/>
      <c r="S66" s="532"/>
      <c r="T66" s="532"/>
      <c r="U66" s="532"/>
      <c r="V66" s="532"/>
      <c r="W66" s="532"/>
      <c r="X66" s="532"/>
      <c r="Y66" s="532"/>
      <c r="Z66" s="532"/>
      <c r="AA66" s="532"/>
      <c r="AB66" s="532"/>
      <c r="AC66" s="532"/>
    </row>
    <row r="67" spans="1:29" s="154" customFormat="1" ht="12.75" hidden="1" x14ac:dyDescent="0.2">
      <c r="D67" s="154" t="s">
        <v>373</v>
      </c>
      <c r="P67" s="532"/>
      <c r="Q67" s="532"/>
      <c r="R67" s="532"/>
      <c r="S67" s="532"/>
      <c r="T67" s="532"/>
      <c r="U67" s="532"/>
      <c r="V67" s="532"/>
      <c r="W67" s="532"/>
      <c r="X67" s="532"/>
      <c r="Y67" s="532"/>
      <c r="Z67" s="532"/>
      <c r="AA67" s="532"/>
      <c r="AB67" s="532"/>
      <c r="AC67" s="532"/>
    </row>
    <row r="68" spans="1:29" s="154" customFormat="1" ht="12.75" hidden="1" x14ac:dyDescent="0.2">
      <c r="A68" s="505"/>
      <c r="D68" s="154" t="s">
        <v>374</v>
      </c>
      <c r="P68" s="532"/>
      <c r="Q68" s="532"/>
      <c r="R68" s="532"/>
      <c r="S68" s="532"/>
      <c r="T68" s="532"/>
      <c r="U68" s="532"/>
      <c r="V68" s="532"/>
      <c r="W68" s="532"/>
      <c r="X68" s="532"/>
      <c r="Y68" s="532"/>
      <c r="Z68" s="532"/>
      <c r="AA68" s="532"/>
      <c r="AB68" s="532"/>
      <c r="AC68" s="532"/>
    </row>
    <row r="69" spans="1:29" s="154" customFormat="1" ht="12.75" hidden="1" x14ac:dyDescent="0.2">
      <c r="P69" s="532"/>
      <c r="Q69" s="532"/>
      <c r="R69" s="532"/>
      <c r="S69" s="532"/>
      <c r="T69" s="532"/>
      <c r="U69" s="532"/>
      <c r="V69" s="532"/>
      <c r="W69" s="532"/>
      <c r="X69" s="532"/>
      <c r="Y69" s="532"/>
      <c r="Z69" s="532"/>
      <c r="AA69" s="532"/>
      <c r="AB69" s="532"/>
      <c r="AC69" s="532"/>
    </row>
    <row r="70" spans="1:29" s="154" customFormat="1" ht="12.75" hidden="1" x14ac:dyDescent="0.2">
      <c r="D70" s="154" t="s">
        <v>375</v>
      </c>
      <c r="E70" s="154" t="s">
        <v>376</v>
      </c>
      <c r="P70" s="532"/>
      <c r="Q70" s="532"/>
      <c r="R70" s="532"/>
      <c r="S70" s="532"/>
      <c r="T70" s="532"/>
      <c r="U70" s="532"/>
      <c r="V70" s="532"/>
      <c r="W70" s="532"/>
      <c r="X70" s="532"/>
      <c r="Y70" s="532"/>
      <c r="Z70" s="532"/>
      <c r="AA70" s="532"/>
      <c r="AB70" s="532"/>
      <c r="AC70" s="532"/>
    </row>
    <row r="71" spans="1:29" s="154" customFormat="1" ht="12.75" hidden="1" x14ac:dyDescent="0.2">
      <c r="D71" s="154" t="s">
        <v>377</v>
      </c>
      <c r="E71" s="154" t="s">
        <v>377</v>
      </c>
      <c r="P71" s="532"/>
      <c r="Q71" s="532"/>
      <c r="R71" s="532"/>
      <c r="S71" s="532"/>
      <c r="T71" s="532"/>
      <c r="U71" s="532"/>
      <c r="V71" s="532"/>
      <c r="W71" s="532"/>
      <c r="X71" s="532"/>
      <c r="Y71" s="532"/>
      <c r="Z71" s="532"/>
      <c r="AA71" s="532"/>
      <c r="AB71" s="532"/>
      <c r="AC71" s="532"/>
    </row>
    <row r="72" spans="1:29" s="154" customFormat="1" ht="12.75" hidden="1" x14ac:dyDescent="0.2">
      <c r="D72" s="154" t="s">
        <v>379</v>
      </c>
      <c r="E72" s="154" t="s">
        <v>378</v>
      </c>
      <c r="G72" s="154" t="s">
        <v>389</v>
      </c>
      <c r="P72" s="532"/>
      <c r="Q72" s="532"/>
      <c r="R72" s="532"/>
      <c r="S72" s="532"/>
      <c r="T72" s="532"/>
      <c r="U72" s="532"/>
      <c r="V72" s="532"/>
      <c r="W72" s="532"/>
      <c r="X72" s="532"/>
      <c r="Y72" s="532"/>
      <c r="Z72" s="532"/>
      <c r="AA72" s="532"/>
      <c r="AB72" s="532"/>
      <c r="AC72" s="532"/>
    </row>
    <row r="73" spans="1:29" s="154" customFormat="1" ht="12.75" hidden="1" x14ac:dyDescent="0.2">
      <c r="H73" s="154" t="s">
        <v>91</v>
      </c>
      <c r="I73" s="154" t="s">
        <v>384</v>
      </c>
      <c r="J73" s="154" t="s">
        <v>385</v>
      </c>
      <c r="P73" s="532"/>
      <c r="Q73" s="532"/>
      <c r="R73" s="532"/>
      <c r="S73" s="532"/>
      <c r="T73" s="532"/>
      <c r="U73" s="532"/>
      <c r="V73" s="532"/>
      <c r="W73" s="532"/>
      <c r="X73" s="532"/>
      <c r="Y73" s="532"/>
      <c r="Z73" s="532"/>
      <c r="AA73" s="532"/>
      <c r="AB73" s="532"/>
      <c r="AC73" s="532"/>
    </row>
    <row r="74" spans="1:29" s="154" customFormat="1" ht="12.75" hidden="1" x14ac:dyDescent="0.2">
      <c r="C74" s="154" t="s">
        <v>380</v>
      </c>
      <c r="D74" s="154">
        <f>1150*78+1150*45</f>
        <v>141450</v>
      </c>
      <c r="E74" s="154">
        <f>1150*78</f>
        <v>89700</v>
      </c>
      <c r="G74" s="154" t="s">
        <v>382</v>
      </c>
      <c r="H74" s="154">
        <v>60</v>
      </c>
      <c r="I74" s="154">
        <v>540</v>
      </c>
      <c r="J74" s="154">
        <f>I74*H74</f>
        <v>32400</v>
      </c>
      <c r="P74" s="532"/>
      <c r="Q74" s="532"/>
      <c r="R74" s="532"/>
      <c r="S74" s="532"/>
      <c r="T74" s="532"/>
      <c r="U74" s="532"/>
      <c r="V74" s="532"/>
      <c r="W74" s="532"/>
      <c r="X74" s="532"/>
      <c r="Y74" s="532"/>
      <c r="Z74" s="532"/>
      <c r="AA74" s="532"/>
      <c r="AB74" s="532"/>
      <c r="AC74" s="532"/>
    </row>
    <row r="75" spans="1:29" s="154" customFormat="1" ht="12.75" hidden="1" x14ac:dyDescent="0.2">
      <c r="C75" s="154" t="s">
        <v>62</v>
      </c>
      <c r="E75" s="154">
        <f>1150*1500</f>
        <v>1725000</v>
      </c>
      <c r="G75" s="154" t="s">
        <v>383</v>
      </c>
      <c r="H75" s="154">
        <v>50</v>
      </c>
      <c r="I75" s="154">
        <v>540</v>
      </c>
      <c r="J75" s="154">
        <f>H75*I75</f>
        <v>27000</v>
      </c>
      <c r="P75" s="532"/>
      <c r="Q75" s="532"/>
      <c r="R75" s="532"/>
      <c r="S75" s="532"/>
      <c r="T75" s="532"/>
      <c r="U75" s="532"/>
      <c r="V75" s="532"/>
      <c r="W75" s="532"/>
      <c r="X75" s="532"/>
      <c r="Y75" s="532"/>
      <c r="Z75" s="532"/>
      <c r="AA75" s="532"/>
      <c r="AB75" s="532"/>
      <c r="AC75" s="532"/>
    </row>
    <row r="76" spans="1:29" s="154" customFormat="1" ht="12.75" hidden="1" x14ac:dyDescent="0.2">
      <c r="C76" s="531" t="s">
        <v>381</v>
      </c>
      <c r="D76" s="549">
        <f>D74/520</f>
        <v>272.01923076923077</v>
      </c>
      <c r="E76" s="154">
        <f>E74/520+E75/J75</f>
        <v>236.38888888888889</v>
      </c>
      <c r="P76" s="532"/>
      <c r="Q76" s="532"/>
      <c r="R76" s="532"/>
      <c r="S76" s="532"/>
      <c r="T76" s="532"/>
      <c r="U76" s="532"/>
      <c r="V76" s="532"/>
      <c r="W76" s="532"/>
      <c r="X76" s="532"/>
      <c r="Y76" s="532"/>
      <c r="Z76" s="532"/>
      <c r="AA76" s="532"/>
      <c r="AB76" s="532"/>
      <c r="AC76" s="532"/>
    </row>
    <row r="77" spans="1:29" s="154" customFormat="1" ht="12.75" hidden="1" x14ac:dyDescent="0.2">
      <c r="B77" s="531" t="s">
        <v>386</v>
      </c>
      <c r="C77" s="154">
        <v>20</v>
      </c>
      <c r="D77" s="154">
        <f>D76*C77</f>
        <v>5440.3846153846152</v>
      </c>
      <c r="E77" s="154">
        <f>E76*C77</f>
        <v>4727.7777777777774</v>
      </c>
      <c r="P77" s="532"/>
      <c r="Q77" s="532"/>
      <c r="R77" s="532"/>
      <c r="S77" s="532"/>
      <c r="T77" s="532"/>
      <c r="U77" s="532"/>
      <c r="V77" s="532"/>
      <c r="W77" s="532"/>
      <c r="X77" s="532"/>
      <c r="Y77" s="532"/>
      <c r="Z77" s="532"/>
      <c r="AA77" s="532"/>
      <c r="AB77" s="532"/>
      <c r="AC77" s="532"/>
    </row>
    <row r="78" spans="1:29" s="154" customFormat="1" ht="12.75" hidden="1" x14ac:dyDescent="0.2">
      <c r="B78" s="531"/>
      <c r="C78" s="154">
        <v>10</v>
      </c>
      <c r="D78" s="154">
        <f>D76*C78</f>
        <v>2720.1923076923076</v>
      </c>
      <c r="E78" s="154">
        <f>E76*C78</f>
        <v>2363.8888888888887</v>
      </c>
      <c r="P78" s="532"/>
      <c r="Q78" s="532"/>
      <c r="R78" s="532"/>
      <c r="S78" s="532"/>
      <c r="T78" s="532"/>
      <c r="U78" s="532"/>
      <c r="V78" s="532"/>
      <c r="W78" s="532"/>
      <c r="X78" s="532"/>
      <c r="Y78" s="532"/>
      <c r="Z78" s="532"/>
      <c r="AA78" s="532"/>
      <c r="AB78" s="532"/>
      <c r="AC78" s="532"/>
    </row>
    <row r="79" spans="1:29" s="154" customFormat="1" ht="12.75" hidden="1" x14ac:dyDescent="0.2">
      <c r="P79" s="532"/>
      <c r="Q79" s="532"/>
      <c r="R79" s="532"/>
      <c r="S79" s="532"/>
      <c r="T79" s="532"/>
      <c r="U79" s="532"/>
      <c r="V79" s="532"/>
      <c r="W79" s="532"/>
      <c r="X79" s="532"/>
      <c r="Y79" s="532"/>
      <c r="Z79" s="532"/>
      <c r="AA79" s="532"/>
      <c r="AB79" s="532"/>
      <c r="AC79" s="532"/>
    </row>
    <row r="80" spans="1:29" s="154" customFormat="1" ht="12.75" hidden="1" x14ac:dyDescent="0.2">
      <c r="B80" s="531" t="s">
        <v>388</v>
      </c>
      <c r="D80" s="154">
        <f>D77/2</f>
        <v>2720.1923076923076</v>
      </c>
      <c r="E80" s="532">
        <f>E77/2</f>
        <v>2363.8888888888887</v>
      </c>
      <c r="P80" s="532"/>
      <c r="Q80" s="532"/>
      <c r="R80" s="532"/>
      <c r="S80" s="532"/>
      <c r="T80" s="532"/>
      <c r="U80" s="532"/>
      <c r="V80" s="532"/>
      <c r="W80" s="532"/>
      <c r="X80" s="532"/>
      <c r="Y80" s="532"/>
      <c r="Z80" s="532"/>
      <c r="AA80" s="532"/>
      <c r="AB80" s="532"/>
      <c r="AC80" s="532"/>
    </row>
    <row r="81" spans="1:29" s="154" customFormat="1" ht="12.75" hidden="1" x14ac:dyDescent="0.2">
      <c r="D81" s="532">
        <f>D78/2</f>
        <v>1360.0961538461538</v>
      </c>
      <c r="E81" s="532">
        <f>E78/2</f>
        <v>1181.9444444444443</v>
      </c>
      <c r="P81" s="532"/>
      <c r="Q81" s="532"/>
      <c r="R81" s="532"/>
      <c r="S81" s="532"/>
      <c r="T81" s="532"/>
      <c r="U81" s="532"/>
      <c r="V81" s="532"/>
      <c r="W81" s="532"/>
      <c r="X81" s="532"/>
      <c r="Y81" s="532"/>
      <c r="Z81" s="532"/>
      <c r="AA81" s="532"/>
      <c r="AB81" s="532"/>
      <c r="AC81" s="532"/>
    </row>
    <row r="82" spans="1:29" ht="12.95" customHeight="1" x14ac:dyDescent="0.2">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row>
    <row r="83" spans="1:29" ht="12.95" customHeight="1" x14ac:dyDescent="0.2">
      <c r="A83" s="532"/>
      <c r="B83" s="532"/>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row>
    <row r="84" spans="1:29" ht="12.95" customHeight="1" x14ac:dyDescent="0.2">
      <c r="A84" s="532"/>
      <c r="B84" s="532"/>
      <c r="C84" s="532"/>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row>
    <row r="85" spans="1:29" ht="12.95" customHeight="1" x14ac:dyDescent="0.2">
      <c r="A85" s="532"/>
      <c r="B85" s="532"/>
      <c r="C85" s="532"/>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row>
    <row r="86" spans="1:29" ht="12.95" customHeight="1" x14ac:dyDescent="0.2">
      <c r="A86" s="532"/>
      <c r="B86" s="532"/>
      <c r="C86" s="532"/>
      <c r="D86" s="532"/>
      <c r="E86" s="532"/>
      <c r="F86" s="532"/>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row>
    <row r="87" spans="1:29" ht="12.95" customHeight="1" x14ac:dyDescent="0.2">
      <c r="A87" s="532"/>
      <c r="B87" s="532"/>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row>
    <row r="88" spans="1:29" ht="12.95" customHeight="1" x14ac:dyDescent="0.2">
      <c r="A88" s="532"/>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row>
    <row r="89" spans="1:29" ht="12.95" customHeight="1" x14ac:dyDescent="0.2">
      <c r="A89" s="532"/>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row>
    <row r="90" spans="1:29" ht="12.95" customHeight="1" x14ac:dyDescent="0.2">
      <c r="A90" s="532"/>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row>
    <row r="91" spans="1:29" ht="12.95" customHeight="1" x14ac:dyDescent="0.2">
      <c r="A91" s="532"/>
      <c r="B91" s="532"/>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row>
    <row r="92" spans="1:29" ht="12.95" customHeight="1" x14ac:dyDescent="0.2">
      <c r="A92" s="532"/>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row>
    <row r="93" spans="1:29" ht="12.95" customHeight="1" x14ac:dyDescent="0.2">
      <c r="A93" s="532"/>
      <c r="B93" s="532"/>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row>
    <row r="94" spans="1:29" ht="12.95" customHeight="1" x14ac:dyDescent="0.2">
      <c r="A94" s="532"/>
      <c r="B94" s="532"/>
      <c r="C94" s="532"/>
      <c r="D94" s="532"/>
      <c r="E94" s="532"/>
      <c r="F94" s="533"/>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row>
    <row r="95" spans="1:29" ht="12.95" customHeight="1" x14ac:dyDescent="0.2">
      <c r="A95" s="532"/>
      <c r="B95" s="532"/>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row>
    <row r="96" spans="1:29" ht="12.95" customHeight="1" x14ac:dyDescent="0.2">
      <c r="A96" s="532"/>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row>
    <row r="97" spans="1:29" ht="12.95" customHeight="1" x14ac:dyDescent="0.2">
      <c r="A97" s="532"/>
      <c r="B97" s="532"/>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row>
    <row r="98" spans="1:29" ht="12.95" customHeight="1" x14ac:dyDescent="0.2">
      <c r="A98" s="532"/>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row>
    <row r="99" spans="1:29" ht="12.95" customHeight="1" x14ac:dyDescent="0.2">
      <c r="A99" s="532"/>
      <c r="B99" s="532"/>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row>
    <row r="100" spans="1:29" ht="12.95" customHeight="1" x14ac:dyDescent="0.2">
      <c r="A100" s="532"/>
      <c r="B100" s="532"/>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row>
    <row r="101" spans="1:29" ht="12.95" customHeight="1" x14ac:dyDescent="0.2">
      <c r="A101" s="532"/>
      <c r="B101" s="532"/>
      <c r="C101" s="532"/>
      <c r="D101" s="532"/>
      <c r="E101" s="532"/>
      <c r="F101" s="532"/>
      <c r="G101" s="532"/>
      <c r="H101" s="532"/>
      <c r="I101" s="532"/>
      <c r="J101" s="532"/>
      <c r="K101" s="532"/>
      <c r="L101" s="532"/>
      <c r="M101" s="532"/>
      <c r="N101" s="532"/>
      <c r="O101" s="532"/>
      <c r="P101" s="532"/>
      <c r="Q101" s="532"/>
      <c r="R101" s="532"/>
      <c r="S101" s="532"/>
      <c r="T101" s="532"/>
      <c r="U101" s="532"/>
      <c r="V101" s="532"/>
      <c r="W101" s="532"/>
      <c r="X101" s="532"/>
      <c r="Y101" s="532"/>
      <c r="Z101" s="532"/>
      <c r="AA101" s="532"/>
      <c r="AB101" s="532"/>
      <c r="AC101" s="532"/>
    </row>
    <row r="102" spans="1:29" ht="12.95" customHeight="1" x14ac:dyDescent="0.2">
      <c r="A102" s="532"/>
      <c r="B102" s="532"/>
      <c r="C102" s="532"/>
      <c r="D102" s="532"/>
      <c r="E102" s="532"/>
      <c r="F102" s="532"/>
      <c r="G102" s="532"/>
      <c r="H102" s="532"/>
      <c r="I102" s="532"/>
      <c r="J102" s="532"/>
      <c r="K102" s="532"/>
      <c r="L102" s="532"/>
      <c r="M102" s="532"/>
      <c r="N102" s="532"/>
      <c r="O102" s="532"/>
      <c r="P102" s="532"/>
      <c r="Q102" s="532"/>
      <c r="R102" s="532"/>
      <c r="S102" s="532"/>
      <c r="T102" s="532"/>
      <c r="U102" s="532"/>
      <c r="V102" s="532"/>
      <c r="W102" s="532"/>
      <c r="X102" s="532"/>
      <c r="Y102" s="532"/>
      <c r="Z102" s="532"/>
      <c r="AA102" s="532"/>
      <c r="AB102" s="532"/>
      <c r="AC102" s="532"/>
    </row>
    <row r="103" spans="1:29" ht="12.95" customHeight="1" x14ac:dyDescent="0.2">
      <c r="A103" s="532"/>
      <c r="B103" s="532"/>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row>
    <row r="104" spans="1:29" ht="12.95" customHeight="1" x14ac:dyDescent="0.2">
      <c r="A104" s="532"/>
      <c r="B104" s="532"/>
      <c r="C104" s="532"/>
      <c r="D104" s="532"/>
      <c r="E104" s="532"/>
      <c r="F104" s="532"/>
      <c r="G104" s="532"/>
      <c r="H104" s="532"/>
      <c r="I104" s="532"/>
      <c r="J104" s="532"/>
      <c r="K104" s="532"/>
      <c r="L104" s="532"/>
      <c r="M104" s="532"/>
      <c r="N104" s="532"/>
      <c r="O104" s="532"/>
      <c r="P104" s="532"/>
      <c r="Q104" s="532"/>
      <c r="R104" s="532"/>
      <c r="S104" s="532"/>
      <c r="T104" s="532"/>
      <c r="U104" s="532"/>
      <c r="V104" s="532"/>
      <c r="W104" s="532"/>
      <c r="X104" s="532"/>
      <c r="Y104" s="532"/>
      <c r="Z104" s="532"/>
      <c r="AA104" s="532"/>
      <c r="AB104" s="532"/>
      <c r="AC104" s="532"/>
    </row>
    <row r="105" spans="1:29" ht="12.95" customHeight="1" x14ac:dyDescent="0.2">
      <c r="A105" s="532"/>
      <c r="B105" s="532"/>
      <c r="C105" s="532"/>
      <c r="D105" s="532"/>
      <c r="E105" s="532"/>
      <c r="F105" s="532"/>
      <c r="G105" s="532"/>
      <c r="H105" s="532"/>
      <c r="I105" s="532"/>
      <c r="J105" s="532"/>
      <c r="K105" s="532"/>
      <c r="L105" s="532"/>
      <c r="M105" s="532"/>
      <c r="N105" s="532"/>
      <c r="O105" s="532"/>
      <c r="P105" s="532"/>
      <c r="Q105" s="532"/>
      <c r="R105" s="532"/>
      <c r="S105" s="532"/>
      <c r="T105" s="532"/>
      <c r="U105" s="532"/>
      <c r="V105" s="532"/>
      <c r="W105" s="532"/>
      <c r="X105" s="532"/>
      <c r="Y105" s="532"/>
      <c r="Z105" s="532"/>
      <c r="AA105" s="532"/>
      <c r="AB105" s="532"/>
      <c r="AC105" s="532"/>
    </row>
    <row r="106" spans="1:29" ht="12.95" customHeight="1" x14ac:dyDescent="0.2">
      <c r="A106" s="532"/>
      <c r="B106" s="532"/>
      <c r="C106" s="532"/>
      <c r="D106" s="532"/>
      <c r="E106" s="532"/>
      <c r="F106" s="532"/>
      <c r="G106" s="532"/>
      <c r="H106" s="532"/>
      <c r="I106" s="532"/>
      <c r="J106" s="532"/>
      <c r="K106" s="532"/>
      <c r="L106" s="532"/>
      <c r="M106" s="532"/>
      <c r="N106" s="532"/>
      <c r="O106" s="532"/>
      <c r="P106" s="532"/>
      <c r="Q106" s="532"/>
      <c r="R106" s="532"/>
      <c r="S106" s="532"/>
      <c r="T106" s="532"/>
      <c r="U106" s="532"/>
      <c r="V106" s="532"/>
      <c r="W106" s="532"/>
      <c r="X106" s="532"/>
      <c r="Y106" s="532"/>
      <c r="Z106" s="532"/>
      <c r="AA106" s="532"/>
      <c r="AB106" s="532"/>
      <c r="AC106" s="532"/>
    </row>
    <row r="107" spans="1:29" ht="12.95" customHeight="1" x14ac:dyDescent="0.2">
      <c r="A107" s="532"/>
      <c r="B107" s="532"/>
      <c r="C107" s="532"/>
      <c r="D107" s="532"/>
      <c r="E107" s="532"/>
      <c r="F107" s="532"/>
      <c r="G107" s="532"/>
      <c r="H107" s="532"/>
      <c r="I107" s="532"/>
      <c r="J107" s="532"/>
      <c r="K107" s="532"/>
      <c r="L107" s="532"/>
      <c r="M107" s="532"/>
      <c r="N107" s="532"/>
      <c r="O107" s="532"/>
      <c r="P107" s="532"/>
      <c r="Q107" s="532"/>
      <c r="R107" s="532"/>
      <c r="S107" s="532"/>
      <c r="T107" s="532"/>
      <c r="U107" s="532"/>
      <c r="V107" s="532"/>
      <c r="W107" s="532"/>
      <c r="X107" s="532"/>
      <c r="Y107" s="532"/>
      <c r="Z107" s="532"/>
      <c r="AA107" s="532"/>
      <c r="AB107" s="532"/>
      <c r="AC107" s="532"/>
    </row>
    <row r="108" spans="1:29" ht="12.95" customHeight="1" x14ac:dyDescent="0.2">
      <c r="A108" s="532"/>
      <c r="B108" s="532"/>
      <c r="C108" s="532"/>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row>
    <row r="109" spans="1:29" ht="12.95" customHeight="1" x14ac:dyDescent="0.2">
      <c r="A109" s="532"/>
      <c r="B109" s="532"/>
      <c r="C109" s="532"/>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row>
    <row r="110" spans="1:29" ht="12.95" customHeight="1" x14ac:dyDescent="0.2">
      <c r="A110" s="532"/>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row>
    <row r="111" spans="1:29" ht="12.95" customHeight="1" x14ac:dyDescent="0.2">
      <c r="A111" s="532"/>
      <c r="B111" s="532"/>
      <c r="C111" s="532"/>
      <c r="D111" s="532"/>
      <c r="E111" s="532"/>
      <c r="F111" s="532"/>
      <c r="G111" s="532"/>
      <c r="H111" s="532"/>
      <c r="I111" s="532"/>
      <c r="J111" s="532"/>
      <c r="K111" s="532"/>
      <c r="L111" s="532"/>
      <c r="M111" s="532"/>
      <c r="N111" s="532"/>
      <c r="O111" s="532"/>
      <c r="P111" s="532"/>
      <c r="Q111" s="532"/>
      <c r="R111" s="532"/>
      <c r="S111" s="532"/>
      <c r="T111" s="532"/>
      <c r="U111" s="532"/>
      <c r="V111" s="532"/>
      <c r="W111" s="532"/>
      <c r="X111" s="532"/>
      <c r="Y111" s="532"/>
      <c r="Z111" s="532"/>
      <c r="AA111" s="532"/>
      <c r="AB111" s="532"/>
      <c r="AC111" s="532"/>
    </row>
    <row r="112" spans="1:29" ht="12.95" customHeight="1" x14ac:dyDescent="0.2">
      <c r="A112" s="532"/>
      <c r="B112" s="532"/>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row>
    <row r="113" spans="1:29" ht="12.95" customHeight="1" x14ac:dyDescent="0.2">
      <c r="A113" s="532"/>
      <c r="B113" s="532"/>
      <c r="C113" s="532"/>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row>
    <row r="114" spans="1:29" ht="12.95" customHeight="1" x14ac:dyDescent="0.2">
      <c r="A114" s="532"/>
      <c r="B114" s="532"/>
      <c r="C114" s="532"/>
      <c r="D114" s="532"/>
      <c r="E114" s="532"/>
      <c r="F114" s="532"/>
      <c r="G114" s="532"/>
      <c r="H114" s="532"/>
      <c r="I114" s="532"/>
      <c r="J114" s="532"/>
      <c r="K114" s="532"/>
      <c r="L114" s="532"/>
      <c r="M114" s="532"/>
      <c r="N114" s="532"/>
      <c r="O114" s="532"/>
      <c r="P114" s="532"/>
      <c r="Q114" s="532"/>
      <c r="R114" s="532"/>
      <c r="S114" s="532"/>
      <c r="T114" s="532"/>
      <c r="U114" s="532"/>
      <c r="V114" s="532"/>
      <c r="W114" s="532"/>
      <c r="X114" s="532"/>
      <c r="Y114" s="532"/>
      <c r="Z114" s="532"/>
      <c r="AA114" s="532"/>
      <c r="AB114" s="532"/>
      <c r="AC114" s="532"/>
    </row>
    <row r="115" spans="1:29" ht="12.95" customHeight="1" x14ac:dyDescent="0.2">
      <c r="A115" s="532"/>
      <c r="B115" s="532"/>
      <c r="C115" s="532"/>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row>
    <row r="116" spans="1:29" ht="12.95" customHeight="1" x14ac:dyDescent="0.2">
      <c r="A116" s="532"/>
      <c r="B116" s="532"/>
      <c r="C116" s="532"/>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row>
    <row r="117" spans="1:29" ht="12.95" customHeight="1" x14ac:dyDescent="0.2">
      <c r="A117" s="532"/>
      <c r="B117" s="532"/>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row>
    <row r="118" spans="1:29" ht="12.95" customHeight="1" x14ac:dyDescent="0.2">
      <c r="A118" s="532"/>
      <c r="B118" s="532"/>
      <c r="C118" s="532"/>
      <c r="D118" s="532"/>
      <c r="E118" s="532"/>
      <c r="F118" s="532"/>
      <c r="G118" s="532"/>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C118" s="532"/>
    </row>
    <row r="119" spans="1:29" ht="12.95" customHeight="1" x14ac:dyDescent="0.2">
      <c r="A119" s="532"/>
      <c r="B119" s="532"/>
      <c r="C119" s="532"/>
      <c r="D119" s="532"/>
      <c r="E119" s="532"/>
      <c r="F119" s="532"/>
      <c r="G119" s="532"/>
      <c r="H119" s="532"/>
      <c r="I119" s="532"/>
      <c r="J119" s="532"/>
      <c r="K119" s="532"/>
      <c r="L119" s="532"/>
      <c r="M119" s="532"/>
      <c r="N119" s="532"/>
      <c r="O119" s="532"/>
      <c r="P119" s="532"/>
      <c r="Q119" s="532"/>
      <c r="R119" s="532"/>
      <c r="S119" s="532"/>
      <c r="T119" s="532"/>
      <c r="U119" s="532"/>
      <c r="V119" s="532"/>
      <c r="W119" s="532"/>
      <c r="X119" s="532"/>
      <c r="Y119" s="532"/>
      <c r="Z119" s="532"/>
      <c r="AA119" s="532"/>
      <c r="AB119" s="532"/>
      <c r="AC119" s="532"/>
    </row>
    <row r="120" spans="1:29" ht="12.95" customHeight="1" x14ac:dyDescent="0.2">
      <c r="A120" s="532"/>
      <c r="B120" s="532"/>
      <c r="C120" s="532"/>
      <c r="D120" s="532"/>
      <c r="E120" s="532"/>
      <c r="F120" s="532"/>
      <c r="G120" s="532"/>
      <c r="H120" s="532"/>
      <c r="I120" s="532"/>
      <c r="J120" s="532"/>
      <c r="K120" s="532"/>
      <c r="L120" s="532"/>
      <c r="M120" s="532"/>
      <c r="N120" s="532"/>
      <c r="O120" s="532"/>
      <c r="P120" s="532"/>
      <c r="Q120" s="532"/>
      <c r="R120" s="532"/>
      <c r="S120" s="532"/>
      <c r="T120" s="532"/>
      <c r="U120" s="532"/>
      <c r="V120" s="532"/>
      <c r="W120" s="532"/>
      <c r="X120" s="532"/>
      <c r="Y120" s="532"/>
      <c r="Z120" s="532"/>
      <c r="AA120" s="532"/>
      <c r="AB120" s="532"/>
      <c r="AC120" s="532"/>
    </row>
    <row r="121" spans="1:29" ht="12.95" customHeight="1" x14ac:dyDescent="0.2">
      <c r="A121" s="532"/>
      <c r="B121" s="532"/>
      <c r="C121" s="532"/>
      <c r="D121" s="532"/>
      <c r="E121" s="532"/>
      <c r="F121" s="532"/>
      <c r="G121" s="532"/>
      <c r="H121" s="532"/>
      <c r="I121" s="532"/>
      <c r="J121" s="532"/>
      <c r="K121" s="532"/>
      <c r="L121" s="532"/>
      <c r="M121" s="532"/>
      <c r="N121" s="532"/>
      <c r="O121" s="532"/>
      <c r="P121" s="532"/>
      <c r="Q121" s="532"/>
      <c r="R121" s="532"/>
      <c r="S121" s="532"/>
      <c r="T121" s="532"/>
      <c r="U121" s="532"/>
      <c r="V121" s="532"/>
      <c r="W121" s="532"/>
      <c r="X121" s="532"/>
      <c r="Y121" s="532"/>
      <c r="Z121" s="532"/>
      <c r="AA121" s="532"/>
      <c r="AB121" s="532"/>
      <c r="AC121" s="532"/>
    </row>
    <row r="122" spans="1:29" ht="12.95" customHeight="1" x14ac:dyDescent="0.2">
      <c r="A122" s="532"/>
      <c r="B122" s="532"/>
      <c r="C122" s="532"/>
      <c r="D122" s="532"/>
      <c r="E122" s="532"/>
      <c r="F122" s="532"/>
      <c r="G122" s="532"/>
      <c r="H122" s="532"/>
      <c r="I122" s="532"/>
      <c r="J122" s="532"/>
      <c r="K122" s="532"/>
      <c r="L122" s="532"/>
      <c r="M122" s="532"/>
      <c r="N122" s="532"/>
      <c r="O122" s="532"/>
      <c r="P122" s="532"/>
      <c r="Q122" s="532"/>
      <c r="R122" s="532"/>
      <c r="S122" s="532"/>
      <c r="T122" s="532"/>
      <c r="U122" s="532"/>
      <c r="V122" s="532"/>
      <c r="W122" s="532"/>
      <c r="X122" s="532"/>
      <c r="Y122" s="532"/>
      <c r="Z122" s="532"/>
      <c r="AA122" s="532"/>
      <c r="AB122" s="532"/>
      <c r="AC122" s="532"/>
    </row>
    <row r="123" spans="1:29" ht="12.95" customHeight="1" x14ac:dyDescent="0.2">
      <c r="A123" s="532"/>
      <c r="B123" s="532"/>
      <c r="C123" s="532"/>
      <c r="D123" s="532"/>
      <c r="E123" s="532"/>
      <c r="F123" s="532"/>
      <c r="G123" s="532"/>
      <c r="H123" s="532"/>
      <c r="I123" s="532"/>
      <c r="J123" s="532"/>
      <c r="K123" s="532"/>
      <c r="L123" s="532"/>
      <c r="M123" s="532"/>
      <c r="N123" s="532"/>
      <c r="O123" s="532"/>
      <c r="P123" s="532"/>
      <c r="Q123" s="532"/>
      <c r="R123" s="532"/>
      <c r="S123" s="532"/>
      <c r="T123" s="532"/>
      <c r="U123" s="532"/>
      <c r="V123" s="532"/>
      <c r="W123" s="532"/>
      <c r="X123" s="532"/>
      <c r="Y123" s="532"/>
      <c r="Z123" s="532"/>
      <c r="AA123" s="532"/>
      <c r="AB123" s="532"/>
      <c r="AC123" s="532"/>
    </row>
    <row r="124" spans="1:29" ht="12.95" customHeight="1" x14ac:dyDescent="0.2">
      <c r="A124" s="532"/>
      <c r="B124" s="532"/>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32"/>
      <c r="Z124" s="532"/>
      <c r="AA124" s="532"/>
      <c r="AB124" s="532"/>
      <c r="AC124" s="532"/>
    </row>
    <row r="125" spans="1:29" ht="12.95" customHeight="1" x14ac:dyDescent="0.2">
      <c r="A125" s="532"/>
      <c r="B125" s="532"/>
      <c r="C125" s="532"/>
      <c r="D125" s="532"/>
      <c r="E125" s="532"/>
      <c r="F125" s="532"/>
      <c r="G125" s="532"/>
      <c r="H125" s="532"/>
      <c r="I125" s="532"/>
      <c r="J125" s="532"/>
      <c r="K125" s="532"/>
      <c r="L125" s="532"/>
      <c r="M125" s="532"/>
      <c r="N125" s="532"/>
      <c r="O125" s="532"/>
      <c r="P125" s="532"/>
      <c r="Q125" s="532"/>
      <c r="R125" s="532"/>
      <c r="S125" s="532"/>
      <c r="T125" s="532"/>
      <c r="U125" s="532"/>
      <c r="V125" s="532"/>
      <c r="W125" s="532"/>
      <c r="X125" s="532"/>
      <c r="Y125" s="532"/>
      <c r="Z125" s="532"/>
      <c r="AA125" s="532"/>
      <c r="AB125" s="532"/>
      <c r="AC125" s="532"/>
    </row>
    <row r="126" spans="1:29" ht="12.95" customHeight="1" x14ac:dyDescent="0.2">
      <c r="A126" s="532"/>
      <c r="B126" s="532"/>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row>
    <row r="127" spans="1:29" ht="12.95" customHeight="1" x14ac:dyDescent="0.2">
      <c r="A127" s="532"/>
      <c r="B127" s="532"/>
      <c r="C127" s="532"/>
      <c r="D127" s="532"/>
      <c r="E127" s="532"/>
      <c r="F127" s="532"/>
      <c r="G127" s="532"/>
      <c r="H127" s="532"/>
      <c r="I127" s="532"/>
      <c r="J127" s="532"/>
      <c r="K127" s="532"/>
      <c r="L127" s="532"/>
      <c r="M127" s="532"/>
      <c r="N127" s="532"/>
      <c r="O127" s="532"/>
      <c r="P127" s="532"/>
      <c r="Q127" s="532"/>
      <c r="R127" s="532"/>
      <c r="S127" s="532"/>
      <c r="T127" s="532"/>
      <c r="U127" s="532"/>
      <c r="V127" s="532"/>
      <c r="W127" s="532"/>
      <c r="X127" s="532"/>
      <c r="Y127" s="532"/>
      <c r="Z127" s="532"/>
      <c r="AA127" s="532"/>
      <c r="AB127" s="532"/>
      <c r="AC127" s="532"/>
    </row>
    <row r="128" spans="1:29" ht="12.95" customHeight="1" x14ac:dyDescent="0.2">
      <c r="A128" s="532"/>
      <c r="B128" s="532"/>
      <c r="C128" s="532"/>
      <c r="D128" s="532"/>
      <c r="E128" s="532"/>
      <c r="F128" s="532"/>
      <c r="G128" s="532"/>
      <c r="H128" s="532"/>
      <c r="I128" s="532"/>
      <c r="J128" s="532"/>
      <c r="K128" s="532"/>
      <c r="L128" s="532"/>
      <c r="M128" s="532"/>
      <c r="N128" s="532"/>
      <c r="O128" s="532"/>
      <c r="P128" s="532"/>
      <c r="Q128" s="532"/>
      <c r="R128" s="532"/>
      <c r="S128" s="532"/>
      <c r="T128" s="532"/>
      <c r="U128" s="532"/>
      <c r="V128" s="532"/>
      <c r="W128" s="532"/>
      <c r="X128" s="532"/>
      <c r="Y128" s="532"/>
      <c r="Z128" s="532"/>
      <c r="AA128" s="532"/>
      <c r="AB128" s="532"/>
      <c r="AC128" s="532"/>
    </row>
    <row r="129" spans="1:29" ht="12.95" customHeight="1" x14ac:dyDescent="0.2">
      <c r="A129" s="532"/>
      <c r="B129" s="532"/>
      <c r="C129" s="532"/>
      <c r="D129" s="532"/>
      <c r="E129" s="532"/>
      <c r="F129" s="532"/>
      <c r="G129" s="532"/>
      <c r="H129" s="532"/>
      <c r="I129" s="532"/>
      <c r="J129" s="532"/>
      <c r="K129" s="532"/>
      <c r="L129" s="532"/>
      <c r="M129" s="532"/>
      <c r="N129" s="532"/>
      <c r="O129" s="532"/>
      <c r="P129" s="532"/>
      <c r="Q129" s="532"/>
      <c r="R129" s="532"/>
      <c r="S129" s="532"/>
      <c r="T129" s="532"/>
      <c r="U129" s="532"/>
      <c r="V129" s="532"/>
      <c r="W129" s="532"/>
      <c r="X129" s="532"/>
      <c r="Y129" s="532"/>
      <c r="Z129" s="532"/>
      <c r="AA129" s="532"/>
      <c r="AB129" s="532"/>
      <c r="AC129" s="532"/>
    </row>
    <row r="130" spans="1:29" ht="12.95" customHeight="1" x14ac:dyDescent="0.2">
      <c r="A130" s="532"/>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row>
    <row r="131" spans="1:29" ht="12.95" customHeight="1" x14ac:dyDescent="0.2">
      <c r="A131" s="532"/>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row>
    <row r="132" spans="1:29" ht="12.95" customHeight="1" x14ac:dyDescent="0.2">
      <c r="A132" s="532"/>
      <c r="B132" s="532"/>
      <c r="C132" s="532"/>
      <c r="D132" s="532"/>
      <c r="E132" s="532"/>
      <c r="F132" s="532"/>
      <c r="G132" s="532"/>
      <c r="H132" s="532"/>
      <c r="I132" s="532"/>
      <c r="J132" s="532"/>
      <c r="K132" s="532"/>
      <c r="L132" s="532"/>
      <c r="M132" s="532"/>
      <c r="N132" s="532"/>
      <c r="O132" s="532"/>
      <c r="P132" s="532"/>
      <c r="Q132" s="532"/>
      <c r="R132" s="532"/>
      <c r="S132" s="532"/>
      <c r="T132" s="532"/>
      <c r="U132" s="532"/>
      <c r="V132" s="532"/>
      <c r="W132" s="532"/>
      <c r="X132" s="532"/>
      <c r="Y132" s="532"/>
      <c r="Z132" s="532"/>
      <c r="AA132" s="532"/>
      <c r="AB132" s="532"/>
      <c r="AC132" s="532"/>
    </row>
    <row r="133" spans="1:29" ht="12.95" customHeight="1" x14ac:dyDescent="0.2">
      <c r="A133" s="532"/>
      <c r="B133" s="532"/>
      <c r="C133" s="532"/>
      <c r="D133" s="532"/>
      <c r="E133" s="532"/>
      <c r="F133" s="532"/>
      <c r="G133" s="532"/>
      <c r="H133" s="532"/>
      <c r="I133" s="532"/>
      <c r="J133" s="532"/>
      <c r="K133" s="532"/>
      <c r="L133" s="532"/>
      <c r="M133" s="532"/>
      <c r="N133" s="532"/>
      <c r="O133" s="532"/>
      <c r="P133" s="532"/>
      <c r="Q133" s="532"/>
      <c r="R133" s="532"/>
      <c r="S133" s="532"/>
      <c r="T133" s="532"/>
      <c r="U133" s="532"/>
      <c r="V133" s="532"/>
      <c r="W133" s="532"/>
      <c r="X133" s="532"/>
      <c r="Y133" s="532"/>
      <c r="Z133" s="532"/>
      <c r="AA133" s="532"/>
      <c r="AB133" s="532"/>
      <c r="AC133" s="532"/>
    </row>
    <row r="134" spans="1:29" ht="12.95" customHeight="1" x14ac:dyDescent="0.2">
      <c r="A134" s="532"/>
      <c r="B134" s="532"/>
      <c r="C134" s="532"/>
      <c r="D134" s="532"/>
      <c r="E134" s="532"/>
      <c r="F134" s="532"/>
      <c r="G134" s="532"/>
      <c r="H134" s="532"/>
      <c r="I134" s="532"/>
      <c r="J134" s="532"/>
      <c r="K134" s="532"/>
      <c r="L134" s="532"/>
      <c r="M134" s="532"/>
      <c r="N134" s="532"/>
      <c r="O134" s="532"/>
      <c r="P134" s="532"/>
      <c r="Q134" s="532"/>
      <c r="R134" s="532"/>
      <c r="S134" s="532"/>
      <c r="T134" s="532"/>
      <c r="U134" s="532"/>
      <c r="V134" s="532"/>
      <c r="W134" s="532"/>
      <c r="X134" s="532"/>
      <c r="Y134" s="532"/>
      <c r="Z134" s="532"/>
      <c r="AA134" s="532"/>
      <c r="AB134" s="532"/>
      <c r="AC134" s="532"/>
    </row>
    <row r="135" spans="1:29" ht="12.95" customHeight="1" x14ac:dyDescent="0.2">
      <c r="A135" s="532"/>
      <c r="B135" s="532"/>
      <c r="C135" s="532"/>
      <c r="D135" s="532"/>
      <c r="E135" s="532"/>
      <c r="F135" s="532"/>
      <c r="G135" s="532"/>
      <c r="H135" s="532"/>
      <c r="I135" s="532"/>
      <c r="J135" s="532"/>
      <c r="K135" s="532"/>
      <c r="L135" s="532"/>
      <c r="M135" s="532"/>
      <c r="N135" s="532"/>
      <c r="O135" s="532"/>
      <c r="P135" s="532"/>
      <c r="Q135" s="532"/>
      <c r="R135" s="532"/>
      <c r="S135" s="532"/>
      <c r="T135" s="532"/>
      <c r="U135" s="532"/>
      <c r="V135" s="532"/>
      <c r="W135" s="532"/>
      <c r="X135" s="532"/>
      <c r="Y135" s="532"/>
      <c r="Z135" s="532"/>
      <c r="AA135" s="532"/>
      <c r="AB135" s="532"/>
      <c r="AC135" s="532"/>
    </row>
    <row r="136" spans="1:29" ht="12.95" customHeight="1" x14ac:dyDescent="0.2">
      <c r="A136" s="532"/>
      <c r="B136" s="532"/>
      <c r="C136" s="532"/>
      <c r="D136" s="532"/>
      <c r="E136" s="532"/>
      <c r="F136" s="532"/>
      <c r="G136" s="532"/>
      <c r="H136" s="532"/>
      <c r="I136" s="532"/>
      <c r="J136" s="532"/>
      <c r="K136" s="532"/>
      <c r="L136" s="532"/>
      <c r="M136" s="532"/>
      <c r="N136" s="532"/>
      <c r="O136" s="532"/>
      <c r="P136" s="532"/>
      <c r="Q136" s="532"/>
      <c r="R136" s="532"/>
      <c r="S136" s="532"/>
      <c r="T136" s="532"/>
      <c r="U136" s="532"/>
      <c r="V136" s="532"/>
      <c r="W136" s="532"/>
      <c r="X136" s="532"/>
      <c r="Y136" s="532"/>
      <c r="Z136" s="532"/>
      <c r="AA136" s="532"/>
      <c r="AB136" s="532"/>
      <c r="AC136" s="532"/>
    </row>
    <row r="137" spans="1:29" ht="12.95" customHeight="1" x14ac:dyDescent="0.2">
      <c r="A137" s="532"/>
      <c r="B137" s="532"/>
      <c r="C137" s="532"/>
      <c r="D137" s="532"/>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row>
    <row r="138" spans="1:29" ht="12.95" customHeight="1" x14ac:dyDescent="0.2">
      <c r="A138" s="532"/>
      <c r="B138" s="532"/>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row>
    <row r="139" spans="1:29" ht="12.95" customHeight="1" x14ac:dyDescent="0.2">
      <c r="A139" s="532"/>
      <c r="B139" s="532"/>
      <c r="C139" s="532"/>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2"/>
      <c r="Z139" s="532"/>
      <c r="AA139" s="532"/>
      <c r="AB139" s="532"/>
      <c r="AC139" s="532"/>
    </row>
    <row r="140" spans="1:29" ht="12.95" customHeight="1" x14ac:dyDescent="0.2">
      <c r="A140" s="532"/>
      <c r="B140" s="532"/>
      <c r="C140" s="532"/>
      <c r="D140" s="532"/>
      <c r="E140" s="532"/>
      <c r="F140" s="532"/>
      <c r="G140" s="532"/>
      <c r="H140" s="532"/>
      <c r="I140" s="532"/>
      <c r="J140" s="532"/>
      <c r="K140" s="532"/>
      <c r="L140" s="532"/>
      <c r="M140" s="532"/>
      <c r="N140" s="532"/>
      <c r="O140" s="532"/>
      <c r="P140" s="532"/>
      <c r="Q140" s="532"/>
      <c r="R140" s="532"/>
      <c r="S140" s="532"/>
      <c r="T140" s="532"/>
      <c r="U140" s="532"/>
      <c r="V140" s="532"/>
      <c r="W140" s="532"/>
      <c r="X140" s="532"/>
      <c r="Y140" s="532"/>
      <c r="Z140" s="532"/>
      <c r="AA140" s="532"/>
      <c r="AB140" s="532"/>
      <c r="AC140" s="532"/>
    </row>
    <row r="141" spans="1:29" ht="12.95" customHeight="1" x14ac:dyDescent="0.2">
      <c r="A141" s="532"/>
      <c r="B141" s="532"/>
      <c r="C141" s="532"/>
      <c r="D141" s="532"/>
      <c r="E141" s="532"/>
      <c r="F141" s="532"/>
      <c r="G141" s="532"/>
      <c r="H141" s="532"/>
      <c r="I141" s="532"/>
      <c r="J141" s="532"/>
      <c r="K141" s="532"/>
      <c r="L141" s="532"/>
      <c r="M141" s="532"/>
      <c r="N141" s="532"/>
      <c r="O141" s="532"/>
      <c r="P141" s="532"/>
      <c r="Q141" s="532"/>
      <c r="R141" s="532"/>
      <c r="S141" s="532"/>
      <c r="T141" s="532"/>
      <c r="U141" s="532"/>
      <c r="V141" s="532"/>
      <c r="W141" s="532"/>
      <c r="X141" s="532"/>
      <c r="Y141" s="532"/>
      <c r="Z141" s="532"/>
      <c r="AA141" s="532"/>
      <c r="AB141" s="532"/>
      <c r="AC141" s="532"/>
    </row>
    <row r="142" spans="1:29" ht="12.95" customHeight="1" x14ac:dyDescent="0.2">
      <c r="A142" s="532"/>
      <c r="B142" s="532"/>
      <c r="C142" s="532"/>
      <c r="D142" s="532"/>
      <c r="E142" s="532"/>
      <c r="F142" s="532"/>
      <c r="G142" s="532"/>
      <c r="H142" s="532"/>
      <c r="I142" s="532"/>
      <c r="J142" s="532"/>
      <c r="K142" s="532"/>
      <c r="L142" s="532"/>
      <c r="M142" s="532"/>
      <c r="N142" s="532"/>
      <c r="O142" s="532"/>
      <c r="P142" s="532"/>
      <c r="Q142" s="532"/>
      <c r="R142" s="532"/>
      <c r="S142" s="532"/>
      <c r="T142" s="532"/>
      <c r="U142" s="532"/>
      <c r="V142" s="532"/>
      <c r="W142" s="532"/>
      <c r="X142" s="532"/>
      <c r="Y142" s="532"/>
      <c r="Z142" s="532"/>
      <c r="AA142" s="532"/>
      <c r="AB142" s="532"/>
      <c r="AC142" s="532"/>
    </row>
    <row r="143" spans="1:29" ht="12.95" customHeight="1" x14ac:dyDescent="0.2">
      <c r="A143" s="532"/>
      <c r="B143" s="532"/>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row>
    <row r="144" spans="1:29" ht="12.95" customHeight="1" x14ac:dyDescent="0.2">
      <c r="A144" s="532"/>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row>
    <row r="145" spans="1:29" ht="12.95" customHeight="1" x14ac:dyDescent="0.2">
      <c r="A145" s="532"/>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row>
    <row r="146" spans="1:29" ht="12.95" customHeight="1" x14ac:dyDescent="0.2">
      <c r="A146" s="532"/>
      <c r="B146" s="532"/>
      <c r="C146" s="532"/>
      <c r="D146" s="532"/>
      <c r="E146" s="532"/>
      <c r="F146" s="532"/>
      <c r="G146" s="532"/>
      <c r="H146" s="532"/>
      <c r="I146" s="532"/>
      <c r="J146" s="532"/>
      <c r="K146" s="532"/>
      <c r="L146" s="532"/>
      <c r="M146" s="532"/>
      <c r="N146" s="532"/>
      <c r="O146" s="532"/>
      <c r="P146" s="532"/>
      <c r="Q146" s="532"/>
      <c r="R146" s="532"/>
      <c r="S146" s="532"/>
      <c r="T146" s="532"/>
      <c r="U146" s="532"/>
      <c r="V146" s="532"/>
      <c r="W146" s="532"/>
      <c r="X146" s="532"/>
      <c r="Y146" s="532"/>
      <c r="Z146" s="532"/>
      <c r="AA146" s="532"/>
      <c r="AB146" s="532"/>
      <c r="AC146" s="532"/>
    </row>
    <row r="147" spans="1:29" ht="12.95" customHeight="1" x14ac:dyDescent="0.2">
      <c r="A147" s="532"/>
      <c r="B147" s="532"/>
      <c r="C147" s="532"/>
      <c r="D147" s="532"/>
      <c r="E147" s="532"/>
      <c r="F147" s="532"/>
      <c r="G147" s="532"/>
      <c r="H147" s="532"/>
      <c r="I147" s="532"/>
      <c r="J147" s="532"/>
      <c r="K147" s="532"/>
      <c r="L147" s="532"/>
      <c r="M147" s="532"/>
      <c r="N147" s="532"/>
      <c r="O147" s="532"/>
      <c r="P147" s="532"/>
      <c r="Q147" s="532"/>
      <c r="R147" s="532"/>
      <c r="S147" s="532"/>
      <c r="T147" s="532"/>
      <c r="U147" s="532"/>
      <c r="V147" s="532"/>
      <c r="W147" s="532"/>
      <c r="X147" s="532"/>
      <c r="Y147" s="532"/>
      <c r="Z147" s="532"/>
      <c r="AA147" s="532"/>
      <c r="AB147" s="532"/>
      <c r="AC147" s="532"/>
    </row>
    <row r="148" spans="1:29" ht="12.95" customHeight="1" x14ac:dyDescent="0.2">
      <c r="A148" s="532"/>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row>
    <row r="149" spans="1:29" ht="12.95" customHeight="1" x14ac:dyDescent="0.2">
      <c r="A149" s="532"/>
      <c r="B149" s="532"/>
      <c r="C149" s="532"/>
      <c r="D149" s="532"/>
      <c r="E149" s="532"/>
      <c r="F149" s="532"/>
      <c r="G149" s="532"/>
      <c r="H149" s="532"/>
      <c r="I149" s="532"/>
      <c r="J149" s="532"/>
      <c r="K149" s="532"/>
      <c r="L149" s="532"/>
      <c r="M149" s="532"/>
      <c r="N149" s="532"/>
      <c r="O149" s="532"/>
      <c r="P149" s="532"/>
      <c r="Q149" s="532"/>
      <c r="R149" s="532"/>
      <c r="S149" s="532"/>
      <c r="T149" s="532"/>
      <c r="U149" s="532"/>
      <c r="V149" s="532"/>
      <c r="W149" s="532"/>
      <c r="X149" s="532"/>
      <c r="Y149" s="532"/>
      <c r="Z149" s="532"/>
      <c r="AA149" s="532"/>
      <c r="AB149" s="532"/>
      <c r="AC149" s="532"/>
    </row>
    <row r="150" spans="1:29" ht="12.95" customHeight="1" x14ac:dyDescent="0.2">
      <c r="A150" s="532"/>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row>
    <row r="151" spans="1:29" ht="12.95" customHeight="1" x14ac:dyDescent="0.2">
      <c r="A151" s="532"/>
      <c r="B151" s="532"/>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row>
    <row r="152" spans="1:29" ht="12.95" customHeight="1" x14ac:dyDescent="0.2">
      <c r="A152" s="532"/>
      <c r="B152" s="532"/>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row>
    <row r="153" spans="1:29" ht="12.95" customHeight="1" x14ac:dyDescent="0.2">
      <c r="A153" s="532"/>
      <c r="B153" s="532"/>
      <c r="C153" s="532"/>
      <c r="D153" s="532"/>
      <c r="E153" s="532"/>
      <c r="F153" s="532"/>
      <c r="G153" s="532"/>
      <c r="H153" s="532"/>
      <c r="I153" s="532"/>
      <c r="J153" s="532"/>
      <c r="K153" s="532"/>
      <c r="L153" s="532"/>
      <c r="M153" s="532"/>
      <c r="N153" s="532"/>
      <c r="O153" s="532"/>
      <c r="P153" s="532"/>
      <c r="Q153" s="532"/>
      <c r="R153" s="532"/>
      <c r="S153" s="532"/>
      <c r="T153" s="532"/>
      <c r="U153" s="532"/>
      <c r="V153" s="532"/>
      <c r="W153" s="532"/>
      <c r="X153" s="532"/>
      <c r="Y153" s="532"/>
      <c r="Z153" s="532"/>
      <c r="AA153" s="532"/>
      <c r="AB153" s="532"/>
      <c r="AC153" s="532"/>
    </row>
    <row r="154" spans="1:29" ht="12.95" customHeight="1" x14ac:dyDescent="0.2">
      <c r="A154" s="532"/>
      <c r="B154" s="532"/>
      <c r="C154" s="532"/>
      <c r="D154" s="532"/>
      <c r="E154" s="532"/>
      <c r="F154" s="532"/>
      <c r="G154" s="532"/>
      <c r="H154" s="532"/>
      <c r="I154" s="532"/>
      <c r="J154" s="532"/>
      <c r="K154" s="532"/>
      <c r="L154" s="532"/>
      <c r="M154" s="532"/>
      <c r="N154" s="532"/>
      <c r="O154" s="532"/>
      <c r="P154" s="532"/>
      <c r="Q154" s="532"/>
      <c r="R154" s="532"/>
      <c r="S154" s="532"/>
      <c r="T154" s="532"/>
      <c r="U154" s="532"/>
      <c r="V154" s="532"/>
      <c r="W154" s="532"/>
      <c r="X154" s="532"/>
      <c r="Y154" s="532"/>
      <c r="Z154" s="532"/>
      <c r="AA154" s="532"/>
      <c r="AB154" s="532"/>
      <c r="AC154" s="532"/>
    </row>
    <row r="155" spans="1:29" ht="12.95" customHeight="1" x14ac:dyDescent="0.2">
      <c r="A155" s="532"/>
      <c r="B155" s="532"/>
      <c r="C155" s="532"/>
      <c r="D155" s="532"/>
      <c r="E155" s="532"/>
      <c r="F155" s="532"/>
      <c r="G155" s="532"/>
      <c r="H155" s="532"/>
      <c r="I155" s="532"/>
      <c r="J155" s="532"/>
      <c r="K155" s="532"/>
      <c r="L155" s="532"/>
      <c r="M155" s="532"/>
      <c r="N155" s="532"/>
      <c r="O155" s="532"/>
      <c r="P155" s="532"/>
      <c r="Q155" s="532"/>
      <c r="R155" s="532"/>
      <c r="S155" s="532"/>
      <c r="T155" s="532"/>
      <c r="U155" s="532"/>
      <c r="V155" s="532"/>
      <c r="W155" s="532"/>
      <c r="X155" s="532"/>
      <c r="Y155" s="532"/>
      <c r="Z155" s="532"/>
      <c r="AA155" s="532"/>
      <c r="AB155" s="532"/>
      <c r="AC155" s="532"/>
    </row>
    <row r="156" spans="1:29" ht="12.95" customHeight="1" x14ac:dyDescent="0.2">
      <c r="A156" s="532"/>
      <c r="B156" s="532"/>
      <c r="C156" s="532"/>
      <c r="D156" s="532"/>
      <c r="E156" s="532"/>
      <c r="F156" s="532"/>
      <c r="G156" s="532"/>
      <c r="H156" s="532"/>
      <c r="I156" s="532"/>
      <c r="J156" s="532"/>
      <c r="K156" s="532"/>
      <c r="L156" s="532"/>
      <c r="M156" s="532"/>
      <c r="N156" s="532"/>
      <c r="O156" s="532"/>
      <c r="P156" s="532"/>
      <c r="Q156" s="532"/>
      <c r="R156" s="532"/>
      <c r="S156" s="532"/>
      <c r="T156" s="532"/>
      <c r="U156" s="532"/>
      <c r="V156" s="532"/>
      <c r="W156" s="532"/>
      <c r="X156" s="532"/>
      <c r="Y156" s="532"/>
      <c r="Z156" s="532"/>
      <c r="AA156" s="532"/>
      <c r="AB156" s="532"/>
      <c r="AC156" s="532"/>
    </row>
    <row r="157" spans="1:29" ht="12.95" customHeight="1" x14ac:dyDescent="0.2">
      <c r="A157" s="532"/>
      <c r="B157" s="532"/>
      <c r="C157" s="532"/>
      <c r="D157" s="532"/>
      <c r="E157" s="532"/>
      <c r="F157" s="532"/>
      <c r="G157" s="532"/>
      <c r="H157" s="532"/>
      <c r="I157" s="532"/>
      <c r="J157" s="532"/>
      <c r="K157" s="532"/>
      <c r="L157" s="532"/>
      <c r="M157" s="532"/>
      <c r="N157" s="532"/>
      <c r="O157" s="532"/>
      <c r="P157" s="532"/>
      <c r="Q157" s="532"/>
      <c r="R157" s="532"/>
      <c r="S157" s="532"/>
      <c r="T157" s="532"/>
      <c r="U157" s="532"/>
      <c r="V157" s="532"/>
      <c r="W157" s="532"/>
      <c r="X157" s="532"/>
      <c r="Y157" s="532"/>
      <c r="Z157" s="532"/>
      <c r="AA157" s="532"/>
      <c r="AB157" s="532"/>
      <c r="AC157" s="532"/>
    </row>
    <row r="158" spans="1:29" ht="12.95" customHeight="1" x14ac:dyDescent="0.2">
      <c r="A158" s="532"/>
      <c r="B158" s="532"/>
      <c r="C158" s="532"/>
      <c r="D158" s="532"/>
      <c r="E158" s="532"/>
      <c r="F158" s="532"/>
      <c r="G158" s="532"/>
      <c r="H158" s="532"/>
      <c r="I158" s="532"/>
      <c r="J158" s="532"/>
      <c r="K158" s="532"/>
      <c r="L158" s="532"/>
      <c r="M158" s="532"/>
      <c r="N158" s="532"/>
      <c r="O158" s="532"/>
      <c r="P158" s="532"/>
      <c r="Q158" s="532"/>
      <c r="R158" s="532"/>
      <c r="S158" s="532"/>
      <c r="T158" s="532"/>
      <c r="U158" s="532"/>
      <c r="V158" s="532"/>
      <c r="W158" s="532"/>
      <c r="X158" s="532"/>
      <c r="Y158" s="532"/>
      <c r="Z158" s="532"/>
      <c r="AA158" s="532"/>
      <c r="AB158" s="532"/>
      <c r="AC158" s="532"/>
    </row>
    <row r="159" spans="1:29" ht="12.95" customHeight="1" x14ac:dyDescent="0.2">
      <c r="A159" s="532"/>
      <c r="B159" s="532"/>
      <c r="C159" s="532"/>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row>
    <row r="160" spans="1:29" ht="12.95" customHeight="1" x14ac:dyDescent="0.2">
      <c r="A160" s="532"/>
      <c r="B160" s="532"/>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row>
    <row r="161" spans="1:29" ht="12.95" customHeight="1" x14ac:dyDescent="0.2">
      <c r="A161" s="532"/>
      <c r="B161" s="532"/>
      <c r="C161" s="532"/>
      <c r="D161" s="532"/>
      <c r="E161" s="532"/>
      <c r="F161" s="532"/>
      <c r="G161" s="532"/>
      <c r="H161" s="532"/>
      <c r="I161" s="532"/>
      <c r="J161" s="532"/>
      <c r="K161" s="532"/>
      <c r="L161" s="532"/>
      <c r="M161" s="532"/>
      <c r="N161" s="532"/>
      <c r="O161" s="532"/>
      <c r="P161" s="532"/>
      <c r="Q161" s="532"/>
      <c r="R161" s="532"/>
      <c r="S161" s="532"/>
      <c r="T161" s="532"/>
      <c r="U161" s="532"/>
      <c r="V161" s="532"/>
      <c r="W161" s="532"/>
      <c r="X161" s="532"/>
      <c r="Y161" s="532"/>
      <c r="Z161" s="532"/>
      <c r="AA161" s="532"/>
      <c r="AB161" s="532"/>
      <c r="AC161" s="532"/>
    </row>
    <row r="162" spans="1:29" ht="12.95" customHeight="1" x14ac:dyDescent="0.2">
      <c r="A162" s="532"/>
      <c r="B162" s="532"/>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row>
    <row r="163" spans="1:29" ht="12.95" customHeight="1" x14ac:dyDescent="0.2">
      <c r="A163" s="532"/>
      <c r="B163" s="532"/>
      <c r="C163" s="532"/>
      <c r="D163" s="532"/>
      <c r="E163" s="532"/>
      <c r="F163" s="532"/>
      <c r="G163" s="532"/>
      <c r="H163" s="532"/>
      <c r="I163" s="532"/>
      <c r="J163" s="532"/>
      <c r="K163" s="532"/>
      <c r="L163" s="532"/>
      <c r="M163" s="532"/>
      <c r="N163" s="532"/>
      <c r="O163" s="532"/>
      <c r="P163" s="532"/>
      <c r="Q163" s="532"/>
      <c r="R163" s="532"/>
      <c r="S163" s="532"/>
      <c r="T163" s="532"/>
      <c r="U163" s="532"/>
      <c r="V163" s="532"/>
      <c r="W163" s="532"/>
      <c r="X163" s="532"/>
      <c r="Y163" s="532"/>
      <c r="Z163" s="532"/>
      <c r="AA163" s="532"/>
      <c r="AB163" s="532"/>
      <c r="AC163" s="532"/>
    </row>
    <row r="164" spans="1:29" ht="12.95" customHeight="1" x14ac:dyDescent="0.2">
      <c r="A164" s="532"/>
      <c r="B164" s="532"/>
      <c r="C164" s="532"/>
      <c r="D164" s="532"/>
      <c r="E164" s="532"/>
      <c r="F164" s="532"/>
      <c r="G164" s="532"/>
      <c r="H164" s="532"/>
      <c r="I164" s="532"/>
      <c r="J164" s="532"/>
      <c r="K164" s="532"/>
      <c r="L164" s="532"/>
      <c r="M164" s="532"/>
      <c r="N164" s="532"/>
      <c r="O164" s="532"/>
      <c r="P164" s="532"/>
      <c r="Q164" s="532"/>
      <c r="R164" s="532"/>
      <c r="S164" s="532"/>
      <c r="T164" s="532"/>
      <c r="U164" s="532"/>
      <c r="V164" s="532"/>
      <c r="W164" s="532"/>
      <c r="X164" s="532"/>
      <c r="Y164" s="532"/>
      <c r="Z164" s="532"/>
      <c r="AA164" s="532"/>
      <c r="AB164" s="532"/>
      <c r="AC164" s="532"/>
    </row>
    <row r="165" spans="1:29" ht="12.95" customHeight="1" x14ac:dyDescent="0.2">
      <c r="A165" s="532"/>
      <c r="B165" s="532"/>
      <c r="C165" s="532"/>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row>
    <row r="166" spans="1:29" ht="12.95" customHeight="1" x14ac:dyDescent="0.2">
      <c r="A166" s="532"/>
      <c r="B166" s="532"/>
      <c r="C166" s="532"/>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row>
    <row r="167" spans="1:29" ht="12.95" customHeight="1" x14ac:dyDescent="0.2">
      <c r="A167" s="532"/>
      <c r="B167" s="532"/>
      <c r="C167" s="532"/>
      <c r="D167" s="532"/>
      <c r="E167" s="532"/>
      <c r="F167" s="532"/>
      <c r="G167" s="532"/>
      <c r="H167" s="532"/>
      <c r="I167" s="532"/>
      <c r="J167" s="532"/>
      <c r="K167" s="532"/>
      <c r="L167" s="532"/>
      <c r="M167" s="532"/>
      <c r="N167" s="532"/>
      <c r="O167" s="532"/>
      <c r="P167" s="532"/>
      <c r="Q167" s="532"/>
      <c r="R167" s="532"/>
      <c r="S167" s="532"/>
      <c r="T167" s="532"/>
      <c r="U167" s="532"/>
      <c r="V167" s="532"/>
      <c r="W167" s="532"/>
      <c r="X167" s="532"/>
      <c r="Y167" s="532"/>
      <c r="Z167" s="532"/>
      <c r="AA167" s="532"/>
      <c r="AB167" s="532"/>
      <c r="AC167" s="532"/>
    </row>
    <row r="168" spans="1:29" ht="12.95" customHeight="1" x14ac:dyDescent="0.2">
      <c r="A168" s="532"/>
      <c r="B168" s="532"/>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row>
    <row r="169" spans="1:29" ht="12.95" customHeight="1" x14ac:dyDescent="0.2">
      <c r="B169" s="532"/>
      <c r="C169" s="532"/>
      <c r="D169" s="532"/>
      <c r="E169" s="532"/>
      <c r="F169" s="532"/>
      <c r="G169" s="532"/>
      <c r="H169" s="532"/>
      <c r="I169" s="532"/>
      <c r="J169" s="532"/>
      <c r="K169" s="532"/>
      <c r="L169" s="532"/>
      <c r="M169" s="532"/>
      <c r="N169" s="532"/>
      <c r="O169" s="532"/>
      <c r="P169" s="532"/>
      <c r="Q169" s="532"/>
      <c r="R169" s="532"/>
      <c r="S169" s="532"/>
      <c r="T169" s="532"/>
      <c r="U169" s="532"/>
      <c r="V169" s="532"/>
      <c r="W169" s="532"/>
      <c r="X169" s="532"/>
      <c r="Y169" s="532"/>
      <c r="Z169" s="532"/>
      <c r="AA169" s="532"/>
      <c r="AB169" s="532"/>
      <c r="AC169" s="532"/>
    </row>
    <row r="170" spans="1:29" ht="12.95" customHeight="1" x14ac:dyDescent="0.2">
      <c r="B170" s="532"/>
      <c r="C170" s="532"/>
      <c r="D170" s="532"/>
      <c r="E170" s="532"/>
      <c r="F170" s="532"/>
      <c r="G170" s="532"/>
      <c r="H170" s="532"/>
      <c r="I170" s="532"/>
      <c r="J170" s="532"/>
      <c r="K170" s="532"/>
      <c r="L170" s="532"/>
      <c r="M170" s="532"/>
      <c r="N170" s="532"/>
      <c r="O170" s="532"/>
      <c r="P170" s="532"/>
      <c r="Q170" s="532"/>
      <c r="R170" s="532"/>
      <c r="S170" s="532"/>
      <c r="T170" s="532"/>
      <c r="U170" s="532"/>
      <c r="V170" s="532"/>
      <c r="W170" s="532"/>
      <c r="X170" s="532"/>
      <c r="Y170" s="532"/>
      <c r="Z170" s="532"/>
      <c r="AA170" s="532"/>
      <c r="AB170" s="532"/>
      <c r="AC170" s="532"/>
    </row>
    <row r="171" spans="1:29" ht="12.95" customHeight="1" x14ac:dyDescent="0.2">
      <c r="B171" s="532"/>
      <c r="C171" s="532"/>
      <c r="D171" s="532"/>
      <c r="E171" s="532"/>
      <c r="F171" s="532"/>
      <c r="G171" s="532"/>
      <c r="H171" s="532"/>
      <c r="I171" s="532"/>
      <c r="J171" s="532"/>
      <c r="K171" s="532"/>
      <c r="L171" s="532"/>
      <c r="M171" s="532"/>
      <c r="N171" s="532"/>
      <c r="O171" s="532"/>
      <c r="P171" s="532"/>
      <c r="Q171" s="532"/>
      <c r="R171" s="532"/>
      <c r="S171" s="532"/>
      <c r="T171" s="532"/>
      <c r="U171" s="532"/>
      <c r="V171" s="532"/>
      <c r="W171" s="532"/>
      <c r="X171" s="532"/>
      <c r="Y171" s="532"/>
      <c r="Z171" s="532"/>
      <c r="AA171" s="532"/>
      <c r="AB171" s="532"/>
      <c r="AC171" s="532"/>
    </row>
    <row r="172" spans="1:29" ht="12.95" customHeight="1" x14ac:dyDescent="0.2">
      <c r="B172" s="532"/>
      <c r="C172" s="532"/>
      <c r="D172" s="532"/>
      <c r="E172" s="532"/>
      <c r="F172" s="532"/>
      <c r="G172" s="532"/>
      <c r="H172" s="532"/>
      <c r="I172" s="532"/>
      <c r="J172" s="532"/>
      <c r="K172" s="532"/>
      <c r="L172" s="532"/>
      <c r="M172" s="532"/>
      <c r="N172" s="532"/>
      <c r="O172" s="532"/>
      <c r="P172" s="532"/>
      <c r="Q172" s="532"/>
      <c r="R172" s="532"/>
      <c r="S172" s="532"/>
      <c r="T172" s="532"/>
      <c r="U172" s="532"/>
      <c r="V172" s="532"/>
      <c r="W172" s="532"/>
      <c r="X172" s="532"/>
      <c r="Y172" s="532"/>
      <c r="Z172" s="532"/>
      <c r="AA172" s="532"/>
      <c r="AB172" s="532"/>
      <c r="AC172" s="532"/>
    </row>
    <row r="173" spans="1:29" ht="12.95" customHeight="1" x14ac:dyDescent="0.2">
      <c r="B173" s="532"/>
      <c r="C173" s="532"/>
      <c r="D173" s="532"/>
      <c r="E173" s="532"/>
      <c r="F173" s="532"/>
      <c r="G173" s="532"/>
      <c r="H173" s="532"/>
      <c r="I173" s="532"/>
      <c r="J173" s="532"/>
      <c r="K173" s="532"/>
      <c r="L173" s="532"/>
      <c r="M173" s="532"/>
      <c r="N173" s="532"/>
      <c r="O173" s="532"/>
      <c r="P173" s="532"/>
      <c r="Q173" s="532"/>
      <c r="R173" s="532"/>
      <c r="S173" s="532"/>
      <c r="T173" s="532"/>
      <c r="U173" s="532"/>
      <c r="V173" s="532"/>
      <c r="W173" s="532"/>
      <c r="X173" s="532"/>
      <c r="Y173" s="532"/>
      <c r="Z173" s="532"/>
      <c r="AA173" s="532"/>
      <c r="AB173" s="532"/>
      <c r="AC173" s="532"/>
    </row>
    <row r="174" spans="1:29" ht="12.95" customHeight="1" x14ac:dyDescent="0.2">
      <c r="B174" s="532"/>
      <c r="C174" s="532"/>
      <c r="D174" s="532"/>
      <c r="E174" s="532"/>
      <c r="F174" s="532"/>
      <c r="G174" s="532"/>
      <c r="H174" s="532"/>
      <c r="I174" s="532"/>
      <c r="J174" s="532"/>
      <c r="K174" s="532"/>
      <c r="L174" s="532"/>
      <c r="M174" s="532"/>
      <c r="N174" s="532"/>
      <c r="O174" s="532"/>
      <c r="P174" s="532"/>
      <c r="Q174" s="532"/>
      <c r="R174" s="532"/>
      <c r="S174" s="532"/>
      <c r="T174" s="532"/>
      <c r="U174" s="532"/>
      <c r="V174" s="532"/>
      <c r="W174" s="532"/>
      <c r="X174" s="532"/>
      <c r="Y174" s="532"/>
      <c r="Z174" s="532"/>
      <c r="AA174" s="532"/>
      <c r="AB174" s="532"/>
      <c r="AC174" s="532"/>
    </row>
    <row r="175" spans="1:29" ht="12.95" customHeight="1" x14ac:dyDescent="0.2">
      <c r="B175" s="532"/>
      <c r="C175" s="532"/>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row>
    <row r="176" spans="1:29" ht="12.95" customHeight="1" x14ac:dyDescent="0.2">
      <c r="B176" s="532"/>
      <c r="C176" s="532"/>
      <c r="D176" s="532"/>
      <c r="E176" s="532"/>
      <c r="F176" s="532"/>
      <c r="G176" s="532"/>
      <c r="H176" s="532"/>
      <c r="I176" s="532"/>
      <c r="J176" s="532"/>
      <c r="K176" s="532"/>
      <c r="L176" s="532"/>
      <c r="M176" s="532"/>
      <c r="N176" s="532"/>
      <c r="O176" s="532"/>
      <c r="P176" s="532"/>
      <c r="Q176" s="532"/>
      <c r="R176" s="532"/>
      <c r="S176" s="532"/>
      <c r="T176" s="532"/>
      <c r="U176" s="532"/>
      <c r="V176" s="532"/>
      <c r="W176" s="532"/>
      <c r="X176" s="532"/>
      <c r="Y176" s="532"/>
      <c r="Z176" s="532"/>
      <c r="AA176" s="532"/>
      <c r="AB176" s="532"/>
      <c r="AC176" s="532"/>
    </row>
    <row r="177" spans="2:29" ht="12.95" customHeight="1" x14ac:dyDescent="0.2">
      <c r="B177" s="532"/>
      <c r="C177" s="532"/>
      <c r="D177" s="532"/>
      <c r="E177" s="532"/>
      <c r="F177" s="532"/>
      <c r="G177" s="532"/>
      <c r="H177" s="532"/>
      <c r="I177" s="532"/>
      <c r="J177" s="532"/>
      <c r="K177" s="532"/>
      <c r="L177" s="532"/>
      <c r="M177" s="532"/>
      <c r="N177" s="532"/>
      <c r="O177" s="532"/>
      <c r="P177" s="532"/>
      <c r="Q177" s="532"/>
      <c r="R177" s="532"/>
      <c r="S177" s="532"/>
      <c r="T177" s="532"/>
      <c r="U177" s="532"/>
      <c r="V177" s="532"/>
      <c r="W177" s="532"/>
      <c r="X177" s="532"/>
      <c r="Y177" s="532"/>
      <c r="Z177" s="532"/>
      <c r="AA177" s="532"/>
      <c r="AB177" s="532"/>
      <c r="AC177" s="532"/>
    </row>
    <row r="178" spans="2:29" ht="12.95" customHeight="1" x14ac:dyDescent="0.2">
      <c r="B178" s="532"/>
      <c r="C178" s="532"/>
      <c r="D178" s="532"/>
      <c r="E178" s="532"/>
      <c r="F178" s="532"/>
      <c r="G178" s="532"/>
      <c r="H178" s="532"/>
      <c r="I178" s="532"/>
      <c r="J178" s="532"/>
      <c r="K178" s="532"/>
      <c r="L178" s="532"/>
      <c r="M178" s="532"/>
      <c r="N178" s="532"/>
      <c r="O178" s="532"/>
      <c r="P178" s="532"/>
      <c r="Q178" s="532"/>
      <c r="R178" s="532"/>
      <c r="S178" s="532"/>
      <c r="T178" s="532"/>
      <c r="U178" s="532"/>
      <c r="V178" s="532"/>
      <c r="W178" s="532"/>
      <c r="X178" s="532"/>
      <c r="Y178" s="532"/>
      <c r="Z178" s="532"/>
      <c r="AA178" s="532"/>
      <c r="AB178" s="532"/>
      <c r="AC178" s="532"/>
    </row>
    <row r="179" spans="2:29" ht="12.95" customHeight="1" x14ac:dyDescent="0.2">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row>
    <row r="180" spans="2:29" ht="12.95" customHeight="1" x14ac:dyDescent="0.2">
      <c r="B180" s="532"/>
      <c r="C180" s="532"/>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row>
    <row r="181" spans="2:29" ht="12.95" customHeight="1" x14ac:dyDescent="0.2">
      <c r="B181" s="532"/>
      <c r="C181" s="532"/>
      <c r="D181" s="532"/>
      <c r="E181" s="532"/>
      <c r="F181" s="532"/>
      <c r="G181" s="532"/>
      <c r="H181" s="532"/>
      <c r="I181" s="532"/>
      <c r="J181" s="532"/>
      <c r="K181" s="532"/>
      <c r="L181" s="532"/>
      <c r="M181" s="532"/>
      <c r="N181" s="532"/>
      <c r="O181" s="532"/>
      <c r="P181" s="532"/>
      <c r="Q181" s="532"/>
      <c r="R181" s="532"/>
      <c r="S181" s="532"/>
      <c r="T181" s="532"/>
      <c r="U181" s="532"/>
      <c r="V181" s="532"/>
      <c r="W181" s="532"/>
      <c r="X181" s="532"/>
      <c r="Y181" s="532"/>
      <c r="Z181" s="532"/>
      <c r="AA181" s="532"/>
      <c r="AB181" s="532"/>
      <c r="AC181" s="532"/>
    </row>
    <row r="182" spans="2:29" ht="12.95" customHeight="1" x14ac:dyDescent="0.2">
      <c r="B182" s="532"/>
      <c r="C182" s="532"/>
      <c r="D182" s="532"/>
      <c r="E182" s="532"/>
      <c r="F182" s="532"/>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row>
    <row r="183" spans="2:29" ht="12.95" customHeight="1" x14ac:dyDescent="0.2">
      <c r="B183" s="532"/>
      <c r="C183" s="532"/>
      <c r="D183" s="532"/>
      <c r="E183" s="532"/>
      <c r="F183" s="532"/>
      <c r="G183" s="532"/>
      <c r="H183" s="532"/>
      <c r="I183" s="532"/>
      <c r="J183" s="532"/>
      <c r="K183" s="532"/>
      <c r="L183" s="532"/>
      <c r="M183" s="532"/>
      <c r="N183" s="532"/>
      <c r="O183" s="532"/>
      <c r="P183" s="532"/>
      <c r="Q183" s="532"/>
      <c r="R183" s="532"/>
      <c r="S183" s="532"/>
      <c r="T183" s="532"/>
      <c r="U183" s="532"/>
      <c r="V183" s="532"/>
      <c r="W183" s="532"/>
      <c r="X183" s="532"/>
      <c r="Y183" s="532"/>
      <c r="Z183" s="532"/>
      <c r="AA183" s="532"/>
      <c r="AB183" s="532"/>
      <c r="AC183" s="532"/>
    </row>
    <row r="184" spans="2:29" ht="12.95" customHeight="1" x14ac:dyDescent="0.2">
      <c r="B184" s="532"/>
      <c r="C184" s="532"/>
      <c r="D184" s="532"/>
      <c r="E184" s="532"/>
      <c r="F184" s="532"/>
      <c r="G184" s="532"/>
      <c r="H184" s="532"/>
      <c r="I184" s="532"/>
      <c r="J184" s="532"/>
      <c r="K184" s="532"/>
      <c r="L184" s="532"/>
      <c r="M184" s="532"/>
      <c r="N184" s="532"/>
      <c r="O184" s="532"/>
      <c r="P184" s="532"/>
      <c r="Q184" s="532"/>
      <c r="R184" s="532"/>
      <c r="S184" s="532"/>
      <c r="T184" s="532"/>
      <c r="U184" s="532"/>
      <c r="V184" s="532"/>
      <c r="W184" s="532"/>
      <c r="X184" s="532"/>
      <c r="Y184" s="532"/>
      <c r="Z184" s="532"/>
      <c r="AA184" s="532"/>
      <c r="AB184" s="532"/>
      <c r="AC184" s="532"/>
    </row>
    <row r="185" spans="2:29" ht="12.95" customHeight="1" x14ac:dyDescent="0.2">
      <c r="B185" s="532"/>
      <c r="C185" s="532"/>
      <c r="D185" s="532"/>
      <c r="E185" s="532"/>
      <c r="F185" s="532"/>
      <c r="G185" s="532"/>
      <c r="H185" s="532"/>
      <c r="I185" s="532"/>
      <c r="J185" s="532"/>
      <c r="K185" s="532"/>
      <c r="L185" s="532"/>
      <c r="M185" s="532"/>
      <c r="N185" s="532"/>
      <c r="O185" s="532"/>
      <c r="P185" s="532"/>
      <c r="Q185" s="532"/>
      <c r="R185" s="532"/>
      <c r="S185" s="532"/>
      <c r="T185" s="532"/>
      <c r="U185" s="532"/>
      <c r="V185" s="532"/>
      <c r="W185" s="532"/>
      <c r="X185" s="532"/>
      <c r="Y185" s="532"/>
      <c r="Z185" s="532"/>
      <c r="AA185" s="532"/>
      <c r="AB185" s="532"/>
      <c r="AC185" s="532"/>
    </row>
    <row r="186" spans="2:29" ht="12.95" customHeight="1" x14ac:dyDescent="0.2">
      <c r="B186" s="532"/>
      <c r="C186" s="532"/>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row>
    <row r="187" spans="2:29" ht="12.95" customHeight="1" x14ac:dyDescent="0.2">
      <c r="B187" s="532"/>
      <c r="C187" s="532"/>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row>
    <row r="188" spans="2:29" ht="12.95" customHeight="1" x14ac:dyDescent="0.2">
      <c r="B188" s="532"/>
      <c r="C188" s="532"/>
      <c r="D188" s="532"/>
      <c r="E188" s="532"/>
      <c r="F188" s="532"/>
      <c r="G188" s="532"/>
      <c r="H188" s="532"/>
      <c r="I188" s="532"/>
      <c r="J188" s="532"/>
      <c r="K188" s="532"/>
      <c r="L188" s="532"/>
      <c r="M188" s="532"/>
      <c r="N188" s="532"/>
      <c r="O188" s="532"/>
      <c r="P188" s="532"/>
      <c r="Q188" s="532"/>
      <c r="R188" s="532"/>
      <c r="S188" s="532"/>
      <c r="T188" s="532"/>
      <c r="U188" s="532"/>
      <c r="V188" s="532"/>
      <c r="W188" s="532"/>
      <c r="X188" s="532"/>
      <c r="Y188" s="532"/>
      <c r="Z188" s="532"/>
      <c r="AA188" s="532"/>
      <c r="AB188" s="532"/>
      <c r="AC188" s="532"/>
    </row>
    <row r="189" spans="2:29" ht="12.95" customHeight="1" x14ac:dyDescent="0.2">
      <c r="B189" s="532"/>
      <c r="C189" s="532"/>
      <c r="D189" s="532"/>
      <c r="E189" s="532"/>
      <c r="F189" s="532"/>
      <c r="G189" s="532"/>
      <c r="H189" s="532"/>
      <c r="I189" s="532"/>
      <c r="J189" s="532"/>
      <c r="K189" s="532"/>
      <c r="L189" s="532"/>
      <c r="M189" s="532"/>
      <c r="N189" s="532"/>
      <c r="O189" s="532"/>
      <c r="P189" s="532"/>
      <c r="Q189" s="532"/>
      <c r="R189" s="532"/>
      <c r="S189" s="532"/>
      <c r="T189" s="532"/>
      <c r="U189" s="532"/>
      <c r="V189" s="532"/>
      <c r="W189" s="532"/>
      <c r="X189" s="532"/>
      <c r="Y189" s="532"/>
      <c r="Z189" s="532"/>
      <c r="AA189" s="532"/>
      <c r="AB189" s="532"/>
      <c r="AC189" s="532"/>
    </row>
    <row r="190" spans="2:29" ht="12.95" customHeight="1" x14ac:dyDescent="0.2">
      <c r="B190" s="532"/>
      <c r="C190" s="532"/>
      <c r="D190" s="532"/>
      <c r="E190" s="532"/>
      <c r="F190" s="532"/>
      <c r="G190" s="532"/>
      <c r="H190" s="532"/>
      <c r="I190" s="532"/>
      <c r="J190" s="532"/>
      <c r="K190" s="532"/>
      <c r="L190" s="532"/>
      <c r="M190" s="532"/>
      <c r="N190" s="532"/>
      <c r="O190" s="532"/>
      <c r="P190" s="532"/>
      <c r="Q190" s="532"/>
      <c r="R190" s="532"/>
      <c r="S190" s="532"/>
      <c r="T190" s="532"/>
      <c r="U190" s="532"/>
      <c r="V190" s="532"/>
      <c r="W190" s="532"/>
      <c r="X190" s="532"/>
      <c r="Y190" s="532"/>
      <c r="Z190" s="532"/>
      <c r="AA190" s="532"/>
      <c r="AB190" s="532"/>
      <c r="AC190" s="532"/>
    </row>
    <row r="191" spans="2:29" ht="12.95" customHeight="1" x14ac:dyDescent="0.2">
      <c r="B191" s="532"/>
      <c r="C191" s="532"/>
      <c r="D191" s="532"/>
      <c r="E191" s="532"/>
      <c r="F191" s="532"/>
      <c r="G191" s="532"/>
      <c r="H191" s="532"/>
      <c r="I191" s="532"/>
      <c r="J191" s="532"/>
      <c r="K191" s="532"/>
      <c r="L191" s="532"/>
      <c r="M191" s="532"/>
      <c r="N191" s="532"/>
      <c r="O191" s="532"/>
      <c r="P191" s="532"/>
      <c r="Q191" s="532"/>
      <c r="R191" s="532"/>
      <c r="S191" s="532"/>
      <c r="T191" s="532"/>
      <c r="U191" s="532"/>
      <c r="V191" s="532"/>
      <c r="W191" s="532"/>
      <c r="X191" s="532"/>
      <c r="Y191" s="532"/>
      <c r="Z191" s="532"/>
      <c r="AA191" s="532"/>
      <c r="AB191" s="532"/>
      <c r="AC191" s="532"/>
    </row>
    <row r="192" spans="2:29" ht="12.95" customHeight="1" x14ac:dyDescent="0.2">
      <c r="B192" s="532"/>
      <c r="C192" s="532"/>
      <c r="D192" s="532"/>
      <c r="E192" s="532"/>
      <c r="F192" s="532"/>
      <c r="G192" s="532"/>
      <c r="H192" s="532"/>
      <c r="I192" s="532"/>
      <c r="J192" s="532"/>
      <c r="K192" s="532"/>
      <c r="L192" s="532"/>
      <c r="M192" s="532"/>
      <c r="N192" s="532"/>
      <c r="O192" s="532"/>
      <c r="P192" s="532"/>
      <c r="Q192" s="532"/>
      <c r="R192" s="532"/>
      <c r="S192" s="532"/>
      <c r="T192" s="532"/>
      <c r="U192" s="532"/>
      <c r="V192" s="532"/>
      <c r="W192" s="532"/>
      <c r="X192" s="532"/>
      <c r="Y192" s="532"/>
      <c r="Z192" s="532"/>
      <c r="AA192" s="532"/>
      <c r="AB192" s="532"/>
      <c r="AC192" s="532"/>
    </row>
    <row r="193" spans="2:29" ht="12.95" customHeight="1" x14ac:dyDescent="0.2">
      <c r="B193" s="532"/>
      <c r="C193" s="532"/>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row>
    <row r="194" spans="2:29" ht="12.95" customHeight="1" x14ac:dyDescent="0.2">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row>
    <row r="195" spans="2:29" ht="12.95" customHeight="1" x14ac:dyDescent="0.2">
      <c r="B195" s="532"/>
      <c r="C195" s="532"/>
      <c r="D195" s="532"/>
      <c r="E195" s="532"/>
      <c r="F195" s="532"/>
      <c r="G195" s="532"/>
      <c r="H195" s="532"/>
      <c r="I195" s="532"/>
      <c r="J195" s="532"/>
      <c r="K195" s="532"/>
      <c r="L195" s="532"/>
      <c r="M195" s="532"/>
      <c r="N195" s="532"/>
      <c r="O195" s="532"/>
      <c r="P195" s="532"/>
      <c r="Q195" s="532"/>
      <c r="R195" s="532"/>
      <c r="S195" s="532"/>
      <c r="T195" s="532"/>
      <c r="U195" s="532"/>
      <c r="V195" s="532"/>
      <c r="W195" s="532"/>
      <c r="X195" s="532"/>
      <c r="Y195" s="532"/>
      <c r="Z195" s="532"/>
      <c r="AA195" s="532"/>
      <c r="AB195" s="532"/>
      <c r="AC195" s="532"/>
    </row>
    <row r="196" spans="2:29" ht="12.95" customHeight="1" x14ac:dyDescent="0.2">
      <c r="B196" s="532"/>
      <c r="C196" s="532"/>
      <c r="D196" s="532"/>
      <c r="E196" s="532"/>
      <c r="F196" s="532"/>
      <c r="G196" s="532"/>
      <c r="H196" s="532"/>
      <c r="I196" s="532"/>
      <c r="J196" s="532"/>
      <c r="K196" s="532"/>
      <c r="L196" s="532"/>
      <c r="M196" s="532"/>
      <c r="N196" s="532"/>
      <c r="O196" s="532"/>
      <c r="P196" s="532"/>
      <c r="Q196" s="532"/>
      <c r="R196" s="532"/>
      <c r="S196" s="532"/>
      <c r="T196" s="532"/>
      <c r="U196" s="532"/>
      <c r="V196" s="532"/>
      <c r="W196" s="532"/>
      <c r="X196" s="532"/>
      <c r="Y196" s="532"/>
      <c r="Z196" s="532"/>
      <c r="AA196" s="532"/>
      <c r="AB196" s="532"/>
      <c r="AC196" s="532"/>
    </row>
    <row r="197" spans="2:29" ht="12.95" customHeight="1" x14ac:dyDescent="0.2">
      <c r="B197" s="532"/>
      <c r="C197" s="532"/>
      <c r="D197" s="532"/>
      <c r="E197" s="532"/>
      <c r="F197" s="532"/>
      <c r="G197" s="532"/>
      <c r="H197" s="532"/>
      <c r="I197" s="532"/>
      <c r="J197" s="532"/>
      <c r="K197" s="532"/>
      <c r="L197" s="532"/>
      <c r="M197" s="532"/>
      <c r="N197" s="532"/>
      <c r="O197" s="532"/>
      <c r="P197" s="532"/>
      <c r="Q197" s="532"/>
      <c r="R197" s="532"/>
      <c r="S197" s="532"/>
      <c r="T197" s="532"/>
      <c r="U197" s="532"/>
      <c r="V197" s="532"/>
      <c r="W197" s="532"/>
      <c r="X197" s="532"/>
      <c r="Y197" s="532"/>
      <c r="Z197" s="532"/>
      <c r="AA197" s="532"/>
      <c r="AB197" s="532"/>
      <c r="AC197" s="532"/>
    </row>
    <row r="198" spans="2:29" ht="12.95" customHeight="1" x14ac:dyDescent="0.2">
      <c r="B198" s="532"/>
      <c r="C198" s="532"/>
      <c r="D198" s="532"/>
      <c r="E198" s="532"/>
      <c r="F198" s="532"/>
      <c r="G198" s="532"/>
      <c r="H198" s="532"/>
      <c r="I198" s="532"/>
      <c r="J198" s="532"/>
      <c r="K198" s="532"/>
      <c r="L198" s="532"/>
      <c r="M198" s="532"/>
      <c r="N198" s="532"/>
      <c r="O198" s="532"/>
      <c r="P198" s="532"/>
      <c r="Q198" s="532"/>
      <c r="R198" s="532"/>
      <c r="S198" s="532"/>
      <c r="T198" s="532"/>
      <c r="U198" s="532"/>
      <c r="V198" s="532"/>
      <c r="W198" s="532"/>
      <c r="X198" s="532"/>
      <c r="Y198" s="532"/>
      <c r="Z198" s="532"/>
      <c r="AA198" s="532"/>
      <c r="AB198" s="532"/>
      <c r="AC198" s="532"/>
    </row>
    <row r="199" spans="2:29" ht="12.95" customHeight="1" x14ac:dyDescent="0.2">
      <c r="B199" s="532"/>
      <c r="C199" s="532"/>
      <c r="D199" s="532"/>
      <c r="E199" s="532"/>
      <c r="F199" s="532"/>
      <c r="G199" s="532"/>
      <c r="H199" s="532"/>
      <c r="I199" s="532"/>
      <c r="J199" s="532"/>
      <c r="K199" s="532"/>
      <c r="L199" s="532"/>
      <c r="M199" s="532"/>
      <c r="N199" s="532"/>
      <c r="O199" s="532"/>
      <c r="P199" s="532"/>
      <c r="Q199" s="532"/>
      <c r="R199" s="532"/>
      <c r="S199" s="532"/>
      <c r="T199" s="532"/>
      <c r="U199" s="532"/>
      <c r="V199" s="532"/>
      <c r="W199" s="532"/>
      <c r="X199" s="532"/>
      <c r="Y199" s="532"/>
      <c r="Z199" s="532"/>
      <c r="AA199" s="532"/>
      <c r="AB199" s="532"/>
      <c r="AC199" s="532"/>
    </row>
    <row r="200" spans="2:29" ht="12.95" customHeight="1" x14ac:dyDescent="0.2">
      <c r="B200" s="532"/>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row>
    <row r="201" spans="2:29" ht="12.95" customHeight="1" x14ac:dyDescent="0.2">
      <c r="B201" s="532"/>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row>
    <row r="202" spans="2:29" ht="12.95" customHeight="1" x14ac:dyDescent="0.2">
      <c r="B202" s="532"/>
      <c r="C202" s="532"/>
      <c r="D202" s="532"/>
      <c r="E202" s="532"/>
      <c r="F202" s="532"/>
      <c r="G202" s="532"/>
      <c r="H202" s="532"/>
      <c r="I202" s="532"/>
      <c r="J202" s="532"/>
      <c r="K202" s="532"/>
      <c r="L202" s="532"/>
      <c r="M202" s="532"/>
      <c r="N202" s="532"/>
      <c r="O202" s="532"/>
      <c r="P202" s="532"/>
      <c r="Q202" s="532"/>
      <c r="R202" s="532"/>
      <c r="S202" s="532"/>
      <c r="T202" s="532"/>
      <c r="U202" s="532"/>
      <c r="V202" s="532"/>
      <c r="W202" s="532"/>
      <c r="X202" s="532"/>
      <c r="Y202" s="532"/>
      <c r="Z202" s="532"/>
      <c r="AA202" s="532"/>
      <c r="AB202" s="532"/>
      <c r="AC202" s="532"/>
    </row>
    <row r="203" spans="2:29" ht="12.95" customHeight="1" x14ac:dyDescent="0.2">
      <c r="B203" s="532"/>
      <c r="C203" s="532"/>
      <c r="D203" s="532"/>
      <c r="E203" s="532"/>
      <c r="F203" s="532"/>
      <c r="G203" s="532"/>
      <c r="H203" s="532"/>
      <c r="I203" s="532"/>
      <c r="J203" s="532"/>
      <c r="K203" s="532"/>
      <c r="L203" s="532"/>
      <c r="M203" s="532"/>
      <c r="N203" s="532"/>
      <c r="O203" s="532"/>
      <c r="P203" s="532"/>
      <c r="Q203" s="532"/>
      <c r="R203" s="532"/>
      <c r="S203" s="532"/>
      <c r="T203" s="532"/>
      <c r="U203" s="532"/>
      <c r="V203" s="532"/>
      <c r="W203" s="532"/>
      <c r="X203" s="532"/>
      <c r="Y203" s="532"/>
      <c r="Z203" s="532"/>
      <c r="AA203" s="532"/>
      <c r="AB203" s="532"/>
      <c r="AC203" s="532"/>
    </row>
    <row r="204" spans="2:29" ht="12.95" customHeight="1" x14ac:dyDescent="0.2">
      <c r="B204" s="532"/>
      <c r="C204" s="532"/>
      <c r="D204" s="532"/>
      <c r="E204" s="532"/>
      <c r="F204" s="532"/>
      <c r="G204" s="532"/>
      <c r="H204" s="532"/>
      <c r="I204" s="532"/>
      <c r="J204" s="532"/>
      <c r="K204" s="532"/>
      <c r="L204" s="532"/>
      <c r="M204" s="532"/>
      <c r="N204" s="532"/>
      <c r="O204" s="532"/>
      <c r="P204" s="532"/>
      <c r="Q204" s="532"/>
      <c r="R204" s="532"/>
      <c r="S204" s="532"/>
      <c r="T204" s="532"/>
      <c r="U204" s="532"/>
      <c r="V204" s="532"/>
      <c r="W204" s="532"/>
      <c r="X204" s="532"/>
      <c r="Y204" s="532"/>
      <c r="Z204" s="532"/>
      <c r="AA204" s="532"/>
      <c r="AB204" s="532"/>
      <c r="AC204" s="532"/>
    </row>
    <row r="205" spans="2:29" ht="12.95" customHeight="1" x14ac:dyDescent="0.2">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row>
    <row r="206" spans="2:29" ht="12.95" customHeight="1" x14ac:dyDescent="0.2">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row>
    <row r="207" spans="2:29" ht="12.95" customHeight="1" x14ac:dyDescent="0.2">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row>
    <row r="208" spans="2:29" ht="12.95" customHeight="1" x14ac:dyDescent="0.2">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row>
    <row r="209" spans="2:29" ht="12.95" customHeight="1" x14ac:dyDescent="0.2">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row>
    <row r="210" spans="2:29" ht="12.95" customHeight="1" x14ac:dyDescent="0.2">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row>
    <row r="211" spans="2:29" ht="12.95" customHeight="1" x14ac:dyDescent="0.2">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row>
    <row r="212" spans="2:29" ht="12.95" customHeight="1" x14ac:dyDescent="0.2">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row>
    <row r="213" spans="2:29" ht="12.95" customHeight="1" x14ac:dyDescent="0.2">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row>
    <row r="214" spans="2:29" ht="12.95" customHeight="1" x14ac:dyDescent="0.2">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row>
    <row r="215" spans="2:29" ht="12.95" customHeight="1" x14ac:dyDescent="0.2">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row>
    <row r="216" spans="2:29" ht="12.95" customHeight="1" x14ac:dyDescent="0.2">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row>
    <row r="217" spans="2:29" ht="12.95" customHeight="1" x14ac:dyDescent="0.2">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row>
    <row r="218" spans="2:29" ht="12.95" customHeight="1" x14ac:dyDescent="0.2">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row>
    <row r="219" spans="2:29" ht="12.95" customHeight="1" x14ac:dyDescent="0.2">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row>
    <row r="220" spans="2:29" ht="12.95" customHeight="1" x14ac:dyDescent="0.2">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row>
    <row r="221" spans="2:29" ht="12.95" customHeight="1" x14ac:dyDescent="0.2">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row>
    <row r="222" spans="2:29" ht="12.95" customHeight="1" x14ac:dyDescent="0.2">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row>
    <row r="223" spans="2:29" ht="12.95" customHeight="1" x14ac:dyDescent="0.2">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row>
    <row r="224" spans="2:29" ht="12.95" customHeight="1" x14ac:dyDescent="0.2">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row>
    <row r="225" spans="2:29" ht="12.95" customHeight="1" x14ac:dyDescent="0.2">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row>
    <row r="226" spans="2:29" ht="12.95" customHeight="1" x14ac:dyDescent="0.2">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row>
    <row r="227" spans="2:29" ht="12.95" customHeight="1" x14ac:dyDescent="0.2">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row>
    <row r="228" spans="2:29" ht="12.95" customHeight="1" x14ac:dyDescent="0.2">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row>
    <row r="229" spans="2:29" ht="12.95" customHeight="1" x14ac:dyDescent="0.2">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row>
    <row r="230" spans="2:29" ht="12.95" customHeight="1" x14ac:dyDescent="0.2">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row>
    <row r="231" spans="2:29" ht="12.95" customHeight="1" x14ac:dyDescent="0.2">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row>
    <row r="232" spans="2:29" ht="12.95" customHeight="1" x14ac:dyDescent="0.2">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row>
    <row r="233" spans="2:29" ht="12.95" customHeight="1" x14ac:dyDescent="0.2">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row>
    <row r="234" spans="2:29" ht="12.95" customHeight="1" x14ac:dyDescent="0.2">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row>
    <row r="235" spans="2:29" ht="12.95" customHeight="1" x14ac:dyDescent="0.2">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row>
    <row r="236" spans="2:29" ht="12.95" customHeight="1" x14ac:dyDescent="0.2">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row>
    <row r="237" spans="2:29" ht="12.95" customHeight="1" x14ac:dyDescent="0.2">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row>
    <row r="238" spans="2:29" ht="12.95" customHeight="1" x14ac:dyDescent="0.2">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row>
    <row r="239" spans="2:29" ht="12.95" customHeight="1" x14ac:dyDescent="0.2">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row>
    <row r="240" spans="2:29" ht="12.95" customHeight="1" x14ac:dyDescent="0.2">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row>
    <row r="241" spans="2:29" ht="12.95" customHeight="1" x14ac:dyDescent="0.2">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row>
    <row r="242" spans="2:29" ht="12.95" customHeight="1" x14ac:dyDescent="0.2">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row>
    <row r="243" spans="2:29" ht="12.95" customHeight="1" x14ac:dyDescent="0.2">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row>
    <row r="244" spans="2:29" ht="12.95" customHeight="1" x14ac:dyDescent="0.2">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row>
    <row r="245" spans="2:29" ht="12.95" customHeight="1" x14ac:dyDescent="0.2">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row>
    <row r="246" spans="2:29" ht="12.95" customHeight="1" x14ac:dyDescent="0.2">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row>
    <row r="247" spans="2:29" ht="12.95" customHeight="1" x14ac:dyDescent="0.2">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row>
    <row r="248" spans="2:29" ht="12.95" customHeight="1" x14ac:dyDescent="0.2">
      <c r="B248" s="532"/>
      <c r="C248" s="532"/>
      <c r="D248" s="532"/>
      <c r="E248" s="532"/>
      <c r="F248" s="532"/>
      <c r="G248" s="532"/>
      <c r="H248" s="532"/>
      <c r="I248" s="532"/>
      <c r="J248" s="532"/>
      <c r="K248" s="532"/>
      <c r="L248" s="532"/>
      <c r="M248" s="532"/>
      <c r="N248" s="532"/>
      <c r="O248" s="532"/>
      <c r="P248" s="532"/>
      <c r="Q248" s="532"/>
      <c r="R248" s="532"/>
      <c r="S248" s="532"/>
      <c r="T248" s="532"/>
      <c r="U248" s="532"/>
      <c r="V248" s="532"/>
      <c r="W248" s="532"/>
      <c r="X248" s="532"/>
      <c r="Y248" s="532"/>
      <c r="Z248" s="532"/>
      <c r="AA248" s="532"/>
      <c r="AB248" s="532"/>
      <c r="AC248" s="532"/>
    </row>
    <row r="249" spans="2:29" ht="12.95" customHeight="1" x14ac:dyDescent="0.2">
      <c r="B249" s="532"/>
      <c r="C249" s="532"/>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row>
    <row r="250" spans="2:29" ht="12.95" customHeight="1" x14ac:dyDescent="0.2">
      <c r="B250" s="532"/>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row>
    <row r="251" spans="2:29" ht="12.95" customHeight="1" x14ac:dyDescent="0.2">
      <c r="B251" s="532"/>
      <c r="C251" s="532"/>
      <c r="D251" s="532"/>
      <c r="E251" s="532"/>
      <c r="F251" s="532"/>
      <c r="G251" s="532"/>
      <c r="H251" s="532"/>
      <c r="I251" s="532"/>
      <c r="J251" s="532"/>
      <c r="K251" s="532"/>
      <c r="L251" s="532"/>
      <c r="M251" s="532"/>
      <c r="N251" s="532"/>
      <c r="O251" s="532"/>
      <c r="P251" s="532"/>
      <c r="Q251" s="532"/>
      <c r="R251" s="532"/>
      <c r="S251" s="532"/>
      <c r="T251" s="532"/>
      <c r="U251" s="532"/>
      <c r="V251" s="532"/>
      <c r="W251" s="532"/>
      <c r="X251" s="532"/>
      <c r="Y251" s="532"/>
      <c r="Z251" s="532"/>
      <c r="AA251" s="532"/>
      <c r="AB251" s="532"/>
      <c r="AC251" s="532"/>
    </row>
    <row r="252" spans="2:29" ht="12.95" customHeight="1" x14ac:dyDescent="0.2">
      <c r="B252" s="532"/>
      <c r="C252" s="532"/>
      <c r="D252" s="532"/>
      <c r="E252" s="532"/>
      <c r="F252" s="532"/>
      <c r="G252" s="532"/>
      <c r="H252" s="532"/>
      <c r="I252" s="532"/>
      <c r="J252" s="532"/>
      <c r="K252" s="532"/>
      <c r="L252" s="532"/>
      <c r="M252" s="532"/>
      <c r="N252" s="532"/>
      <c r="O252" s="532"/>
      <c r="P252" s="532"/>
      <c r="Q252" s="532"/>
      <c r="R252" s="532"/>
      <c r="S252" s="532"/>
      <c r="T252" s="532"/>
      <c r="U252" s="532"/>
      <c r="V252" s="532"/>
      <c r="W252" s="532"/>
      <c r="X252" s="532"/>
      <c r="Y252" s="532"/>
      <c r="Z252" s="532"/>
      <c r="AA252" s="532"/>
      <c r="AB252" s="532"/>
      <c r="AC252" s="532"/>
    </row>
    <row r="253" spans="2:29" ht="12.95" customHeight="1" x14ac:dyDescent="0.2">
      <c r="B253" s="532"/>
      <c r="C253" s="532"/>
      <c r="D253" s="532"/>
      <c r="E253" s="532"/>
      <c r="F253" s="532"/>
      <c r="G253" s="532"/>
      <c r="H253" s="532"/>
      <c r="I253" s="532"/>
      <c r="J253" s="532"/>
      <c r="K253" s="532"/>
      <c r="L253" s="532"/>
      <c r="M253" s="532"/>
      <c r="N253" s="532"/>
      <c r="O253" s="532"/>
      <c r="P253" s="532"/>
      <c r="Q253" s="532"/>
      <c r="R253" s="532"/>
      <c r="S253" s="532"/>
      <c r="T253" s="532"/>
      <c r="U253" s="532"/>
      <c r="V253" s="532"/>
      <c r="W253" s="532"/>
      <c r="X253" s="532"/>
      <c r="Y253" s="532"/>
      <c r="Z253" s="532"/>
      <c r="AA253" s="532"/>
      <c r="AB253" s="532"/>
      <c r="AC253" s="532"/>
    </row>
    <row r="254" spans="2:29" ht="12.95" customHeight="1" x14ac:dyDescent="0.2">
      <c r="B254" s="532"/>
      <c r="C254" s="532"/>
      <c r="D254" s="532"/>
      <c r="E254" s="532"/>
      <c r="F254" s="532"/>
      <c r="G254" s="532"/>
      <c r="H254" s="532"/>
      <c r="I254" s="532"/>
      <c r="J254" s="532"/>
      <c r="K254" s="532"/>
      <c r="L254" s="532"/>
      <c r="M254" s="532"/>
      <c r="N254" s="532"/>
      <c r="O254" s="532"/>
      <c r="P254" s="532"/>
      <c r="Q254" s="532"/>
      <c r="R254" s="532"/>
      <c r="S254" s="532"/>
      <c r="T254" s="532"/>
      <c r="U254" s="532"/>
      <c r="V254" s="532"/>
      <c r="W254" s="532"/>
      <c r="X254" s="532"/>
      <c r="Y254" s="532"/>
      <c r="Z254" s="532"/>
      <c r="AA254" s="532"/>
      <c r="AB254" s="532"/>
      <c r="AC254" s="532"/>
    </row>
    <row r="255" spans="2:29" ht="12.95" customHeight="1" x14ac:dyDescent="0.2">
      <c r="B255" s="532"/>
      <c r="C255" s="532"/>
      <c r="D255" s="532"/>
      <c r="E255" s="532"/>
      <c r="F255" s="532"/>
      <c r="G255" s="532"/>
      <c r="H255" s="532"/>
      <c r="I255" s="532"/>
      <c r="J255" s="532"/>
      <c r="K255" s="532"/>
      <c r="L255" s="532"/>
      <c r="M255" s="532"/>
      <c r="N255" s="532"/>
      <c r="O255" s="532"/>
      <c r="P255" s="532"/>
      <c r="Q255" s="532"/>
      <c r="R255" s="532"/>
      <c r="S255" s="532"/>
      <c r="T255" s="532"/>
      <c r="U255" s="532"/>
      <c r="V255" s="532"/>
      <c r="W255" s="532"/>
      <c r="X255" s="532"/>
      <c r="Y255" s="532"/>
      <c r="Z255" s="532"/>
      <c r="AA255" s="532"/>
      <c r="AB255" s="532"/>
      <c r="AC255" s="532"/>
    </row>
    <row r="256" spans="2:29" ht="12.95" customHeight="1" x14ac:dyDescent="0.2">
      <c r="B256" s="532"/>
      <c r="C256" s="532"/>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row>
    <row r="257" spans="2:29" ht="12.95" customHeight="1" x14ac:dyDescent="0.2">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row>
    <row r="258" spans="2:29" ht="12.95" customHeight="1" x14ac:dyDescent="0.2">
      <c r="B258" s="532"/>
      <c r="C258" s="532"/>
      <c r="D258" s="532"/>
      <c r="E258" s="532"/>
      <c r="F258" s="532"/>
      <c r="G258" s="532"/>
      <c r="H258" s="532"/>
      <c r="I258" s="532"/>
      <c r="J258" s="532"/>
      <c r="K258" s="532"/>
      <c r="L258" s="532"/>
      <c r="M258" s="532"/>
      <c r="N258" s="532"/>
      <c r="O258" s="532"/>
      <c r="P258" s="532"/>
      <c r="Q258" s="532"/>
      <c r="R258" s="532"/>
      <c r="S258" s="532"/>
      <c r="T258" s="532"/>
      <c r="U258" s="532"/>
      <c r="V258" s="532"/>
      <c r="W258" s="532"/>
      <c r="X258" s="532"/>
      <c r="Y258" s="532"/>
      <c r="Z258" s="532"/>
      <c r="AA258" s="532"/>
      <c r="AB258" s="532"/>
      <c r="AC258" s="532"/>
    </row>
  </sheetData>
  <mergeCells count="2">
    <mergeCell ref="B2:O7"/>
    <mergeCell ref="B37:O38"/>
  </mergeCells>
  <pageMargins left="0.25" right="0.25" top="0.75" bottom="0.75" header="0.3" footer="0.3"/>
  <pageSetup scale="7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3" tint="0.39997558519241921"/>
    <pageSetUpPr autoPageBreaks="0"/>
  </sheetPr>
  <dimension ref="A1:AY458"/>
  <sheetViews>
    <sheetView zoomScale="90" zoomScaleNormal="90" zoomScaleSheetLayoutView="70" workbookViewId="0"/>
  </sheetViews>
  <sheetFormatPr defaultColWidth="18.7109375" defaultRowHeight="12.95" customHeight="1" x14ac:dyDescent="0.2"/>
  <cols>
    <col min="1" max="1" width="2.140625" style="154" customWidth="1"/>
    <col min="2" max="2" width="42.42578125" customWidth="1"/>
    <col min="3" max="3" width="11.5703125" customWidth="1"/>
    <col min="4" max="4" width="12.42578125" customWidth="1"/>
    <col min="5" max="5" width="9.140625" customWidth="1"/>
    <col min="6" max="6" width="11.28515625" customWidth="1"/>
    <col min="7" max="7" width="9.7109375" customWidth="1"/>
    <col min="8" max="8" width="9.28515625" customWidth="1"/>
    <col min="9" max="9" width="10" customWidth="1"/>
    <col min="10" max="10" width="9.140625" customWidth="1"/>
    <col min="11" max="11" width="9.7109375" customWidth="1"/>
    <col min="12" max="12" width="8.5703125" customWidth="1"/>
    <col min="13" max="13" width="9.140625" customWidth="1"/>
    <col min="14" max="14" width="10.42578125" customWidth="1"/>
    <col min="15" max="15" width="10.140625" customWidth="1"/>
    <col min="16" max="16" width="5.5703125" customWidth="1"/>
    <col min="17" max="17" width="10.28515625" hidden="1" customWidth="1"/>
    <col min="18" max="18" width="9.140625" hidden="1" customWidth="1"/>
    <col min="19" max="19" width="4.28515625" style="154" hidden="1" customWidth="1"/>
    <col min="20" max="20" width="3.85546875" style="154" hidden="1" customWidth="1"/>
    <col min="21" max="21" width="22.42578125" style="154" hidden="1" customWidth="1"/>
    <col min="22" max="29" width="9.140625" style="154" hidden="1" customWidth="1"/>
  </cols>
  <sheetData>
    <row r="1" spans="2:51" s="154" customFormat="1" ht="12.75" x14ac:dyDescent="0.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row>
    <row r="2" spans="2:51" s="154" customFormat="1" ht="12.75" x14ac:dyDescent="0.2">
      <c r="B2" s="278" t="s">
        <v>211</v>
      </c>
      <c r="C2" s="278"/>
      <c r="D2" s="121"/>
      <c r="E2" s="279"/>
      <c r="F2" s="121"/>
      <c r="G2" s="280"/>
      <c r="H2" s="121"/>
      <c r="I2" s="279"/>
      <c r="J2" s="121"/>
      <c r="K2" s="136"/>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row>
    <row r="3" spans="2:51" s="154" customFormat="1" ht="12.75" x14ac:dyDescent="0.2">
      <c r="B3" s="118" t="s">
        <v>200</v>
      </c>
      <c r="C3" s="118"/>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row>
    <row r="4" spans="2:51" s="154" customFormat="1" ht="12.75" x14ac:dyDescent="0.2">
      <c r="B4" s="661" t="s">
        <v>212</v>
      </c>
      <c r="C4" s="661"/>
      <c r="D4" s="661"/>
      <c r="E4" s="661"/>
      <c r="F4" s="661"/>
      <c r="G4" s="661"/>
      <c r="H4" s="661"/>
      <c r="I4" s="661"/>
      <c r="J4" s="661"/>
      <c r="K4" s="661"/>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row>
    <row r="5" spans="2:51" s="154" customFormat="1" ht="12.75" x14ac:dyDescent="0.2">
      <c r="B5" s="120" t="s">
        <v>213</v>
      </c>
      <c r="C5" s="120"/>
      <c r="D5" s="120"/>
      <c r="E5" s="120"/>
      <c r="F5" s="120"/>
      <c r="G5" s="120"/>
      <c r="H5" s="120"/>
      <c r="I5" s="120"/>
      <c r="J5" s="120"/>
      <c r="K5" s="120"/>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row>
    <row r="6" spans="2:51" s="154" customFormat="1" ht="12.75" x14ac:dyDescent="0.2">
      <c r="B6" s="701" t="s">
        <v>214</v>
      </c>
      <c r="C6" s="701"/>
      <c r="D6" s="701"/>
      <c r="E6" s="701"/>
      <c r="F6" s="701"/>
      <c r="G6" s="701"/>
      <c r="H6" s="701"/>
      <c r="I6" s="701"/>
      <c r="J6" s="701"/>
      <c r="K6" s="701"/>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row>
    <row r="7" spans="2:51" s="154" customFormat="1" ht="12.75" x14ac:dyDescent="0.2">
      <c r="P7" s="532"/>
      <c r="Q7" s="532"/>
      <c r="R7" s="532"/>
      <c r="S7" s="532"/>
      <c r="T7" s="532"/>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c r="AT7" s="532"/>
      <c r="AU7" s="532"/>
      <c r="AV7" s="532"/>
      <c r="AW7" s="532"/>
      <c r="AX7" s="532"/>
      <c r="AY7" s="532"/>
    </row>
    <row r="8" spans="2:51" s="154" customFormat="1" ht="15" x14ac:dyDescent="0.25">
      <c r="B8" s="430" t="s">
        <v>205</v>
      </c>
      <c r="C8" s="430"/>
      <c r="P8" s="532"/>
      <c r="Q8" s="533"/>
      <c r="R8" s="533"/>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2"/>
      <c r="AY8" s="532"/>
    </row>
    <row r="9" spans="2:51" s="154" customFormat="1" ht="14.25" x14ac:dyDescent="0.2">
      <c r="B9" s="716" t="s">
        <v>411</v>
      </c>
      <c r="C9" s="716"/>
      <c r="D9" s="716"/>
      <c r="E9" s="716"/>
      <c r="F9" s="716"/>
      <c r="G9" s="716"/>
      <c r="H9" s="716"/>
      <c r="I9" s="716"/>
      <c r="J9" s="716"/>
      <c r="K9" s="716"/>
      <c r="L9" s="716"/>
      <c r="M9" s="716"/>
      <c r="N9" s="716"/>
      <c r="O9" s="716"/>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row>
    <row r="10" spans="2:51" s="154" customFormat="1" ht="15" x14ac:dyDescent="0.25">
      <c r="B10" s="716" t="s">
        <v>412</v>
      </c>
      <c r="C10" s="716"/>
      <c r="D10" s="716"/>
      <c r="E10" s="716"/>
      <c r="F10" s="716"/>
      <c r="G10" s="716"/>
      <c r="H10" s="716"/>
      <c r="I10" s="716"/>
      <c r="J10" s="716"/>
      <c r="K10" s="716"/>
      <c r="L10" s="716"/>
      <c r="M10" s="716"/>
      <c r="N10" s="716"/>
      <c r="O10" s="716"/>
      <c r="P10" s="532"/>
      <c r="Q10" s="532"/>
      <c r="R10" s="532"/>
      <c r="S10" s="532"/>
      <c r="T10" s="532"/>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row>
    <row r="11" spans="2:51" s="154" customFormat="1" ht="12.75" x14ac:dyDescent="0.2">
      <c r="P11" s="532"/>
      <c r="Q11" s="532"/>
      <c r="R11" s="532"/>
      <c r="S11" s="532"/>
      <c r="T11" s="53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c r="AT11" s="532"/>
      <c r="AU11" s="532"/>
      <c r="AV11" s="532"/>
      <c r="AW11" s="532"/>
      <c r="AX11" s="532"/>
      <c r="AY11" s="532"/>
    </row>
    <row r="12" spans="2:51" s="154" customFormat="1" ht="15.75" x14ac:dyDescent="0.25">
      <c r="B12" s="281" t="s">
        <v>323</v>
      </c>
      <c r="C12" s="281"/>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row>
    <row r="13" spans="2:51" ht="15" x14ac:dyDescent="0.25">
      <c r="B13" s="696"/>
      <c r="C13" s="697"/>
      <c r="D13" s="704" t="s">
        <v>173</v>
      </c>
      <c r="E13" s="705"/>
      <c r="F13" s="705"/>
      <c r="G13" s="706"/>
      <c r="H13" s="702" t="s">
        <v>48</v>
      </c>
      <c r="I13" s="702"/>
      <c r="J13" s="702"/>
      <c r="K13" s="702"/>
      <c r="L13" s="702"/>
      <c r="M13" s="702"/>
      <c r="N13" s="702"/>
      <c r="O13" s="690" t="s">
        <v>180</v>
      </c>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row>
    <row r="14" spans="2:51" ht="12.75" customHeight="1" x14ac:dyDescent="0.2">
      <c r="B14" s="720" t="s">
        <v>106</v>
      </c>
      <c r="C14" s="721"/>
      <c r="D14" s="694" t="s">
        <v>161</v>
      </c>
      <c r="E14" s="694" t="s">
        <v>162</v>
      </c>
      <c r="F14" s="694" t="s">
        <v>171</v>
      </c>
      <c r="G14" s="690" t="s">
        <v>84</v>
      </c>
      <c r="H14" s="694" t="s">
        <v>6</v>
      </c>
      <c r="I14" s="694" t="s">
        <v>169</v>
      </c>
      <c r="J14" s="703" t="s">
        <v>172</v>
      </c>
      <c r="K14" s="703"/>
      <c r="L14" s="703" t="s">
        <v>11</v>
      </c>
      <c r="M14" s="703"/>
      <c r="N14" s="690" t="s">
        <v>85</v>
      </c>
      <c r="O14" s="713"/>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row>
    <row r="15" spans="2:51" ht="25.5" x14ac:dyDescent="0.2">
      <c r="B15" s="722"/>
      <c r="C15" s="723"/>
      <c r="D15" s="700"/>
      <c r="E15" s="700"/>
      <c r="F15" s="700"/>
      <c r="G15" s="713"/>
      <c r="H15" s="700"/>
      <c r="I15" s="700"/>
      <c r="J15" s="238" t="s">
        <v>176</v>
      </c>
      <c r="K15" s="238" t="s">
        <v>153</v>
      </c>
      <c r="L15" s="238" t="s">
        <v>175</v>
      </c>
      <c r="M15" s="238" t="s">
        <v>174</v>
      </c>
      <c r="N15" s="691"/>
      <c r="O15" s="691"/>
      <c r="P15" s="532"/>
      <c r="Q15" s="282" t="s">
        <v>163</v>
      </c>
      <c r="R15" s="282" t="s">
        <v>125</v>
      </c>
      <c r="S15" s="532"/>
      <c r="T15" s="532"/>
      <c r="U15" s="532" t="s">
        <v>106</v>
      </c>
      <c r="V15" s="532" t="s">
        <v>161</v>
      </c>
      <c r="W15" s="532" t="s">
        <v>162</v>
      </c>
      <c r="X15" s="532" t="s">
        <v>258</v>
      </c>
      <c r="Y15" s="532" t="s">
        <v>6</v>
      </c>
      <c r="Z15" s="532" t="s">
        <v>11</v>
      </c>
      <c r="AA15" s="532" t="s">
        <v>163</v>
      </c>
      <c r="AB15" s="532" t="s">
        <v>259</v>
      </c>
      <c r="AC15" s="532"/>
      <c r="AD15" s="532"/>
      <c r="AE15" s="532"/>
      <c r="AF15" s="532"/>
      <c r="AG15" s="532"/>
      <c r="AH15" s="532"/>
      <c r="AI15" s="532"/>
      <c r="AJ15" s="532"/>
      <c r="AK15" s="532"/>
      <c r="AL15" s="532"/>
      <c r="AM15" s="532"/>
      <c r="AN15" s="532"/>
      <c r="AO15" s="532"/>
      <c r="AP15" s="532"/>
      <c r="AQ15" s="532"/>
      <c r="AR15" s="532"/>
      <c r="AS15" s="532"/>
      <c r="AT15" s="532"/>
      <c r="AU15" s="532"/>
      <c r="AV15" s="532"/>
      <c r="AW15" s="532"/>
      <c r="AX15" s="532"/>
      <c r="AY15" s="532"/>
    </row>
    <row r="16" spans="2:51" ht="12.75" x14ac:dyDescent="0.2">
      <c r="B16" s="165" t="s">
        <v>181</v>
      </c>
      <c r="C16" s="453"/>
      <c r="D16" s="166"/>
      <c r="E16" s="166"/>
      <c r="F16" s="166"/>
      <c r="G16" s="169"/>
      <c r="H16" s="166"/>
      <c r="I16" s="166"/>
      <c r="J16" s="170"/>
      <c r="K16" s="170"/>
      <c r="L16" s="170"/>
      <c r="M16" s="170"/>
      <c r="N16" s="171"/>
      <c r="O16" s="167"/>
      <c r="P16" s="532"/>
      <c r="Q16" s="282"/>
      <c r="R16" s="282"/>
      <c r="S16" s="532"/>
      <c r="T16" s="532"/>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c r="AT16" s="532"/>
      <c r="AU16" s="532"/>
      <c r="AV16" s="532"/>
      <c r="AW16" s="532"/>
      <c r="AX16" s="532"/>
      <c r="AY16" s="532"/>
    </row>
    <row r="17" spans="1:51" ht="15" x14ac:dyDescent="0.25">
      <c r="A17" s="532"/>
      <c r="B17" s="566" t="s">
        <v>424</v>
      </c>
      <c r="C17" s="453"/>
      <c r="D17" s="240">
        <v>1.82</v>
      </c>
      <c r="E17" s="240">
        <v>1.88</v>
      </c>
      <c r="F17" s="240">
        <v>0.93</v>
      </c>
      <c r="G17" s="468">
        <f>SUM(D17:F17)</f>
        <v>4.63</v>
      </c>
      <c r="H17" s="173">
        <v>0.44</v>
      </c>
      <c r="I17" s="161">
        <f t="shared" ref="I17:I29" si="0">ROUND(K17*0.15,2)</f>
        <v>0.02</v>
      </c>
      <c r="J17" s="162">
        <f>ROUND((Q17*0.85)/3.5,2)</f>
        <v>0.04</v>
      </c>
      <c r="K17" s="161">
        <f t="shared" ref="K17:K29" si="1">ROUND(J17*Diesel,2)</f>
        <v>0.14000000000000001</v>
      </c>
      <c r="L17" s="162">
        <f t="shared" ref="L17:L29" si="2">ROUND(R17/20,2)</f>
        <v>0.02</v>
      </c>
      <c r="M17" s="163">
        <f t="shared" ref="M17:M29" si="3">ROUND(L17*MachLabor,2)</f>
        <v>0.4</v>
      </c>
      <c r="N17" s="239">
        <f t="shared" ref="N17:N22" si="4">SUM(H17,I17,K17,M17)</f>
        <v>1</v>
      </c>
      <c r="O17" s="158">
        <f>SUM(G17,N17)</f>
        <v>5.63</v>
      </c>
      <c r="P17" s="532"/>
      <c r="Q17" s="532">
        <f>AA17</f>
        <v>0.18</v>
      </c>
      <c r="R17" s="532">
        <f>Z17</f>
        <v>0.37</v>
      </c>
      <c r="S17" s="532"/>
      <c r="T17" s="532"/>
      <c r="U17" s="532" t="s">
        <v>423</v>
      </c>
      <c r="V17" s="532">
        <v>1.82</v>
      </c>
      <c r="W17" s="532">
        <v>1.88</v>
      </c>
      <c r="X17" s="532">
        <v>0.93</v>
      </c>
      <c r="Y17" s="532">
        <v>0.44</v>
      </c>
      <c r="Z17" s="532">
        <v>0.37</v>
      </c>
      <c r="AA17" s="532">
        <v>0.18</v>
      </c>
      <c r="AB17" s="532">
        <v>5.61</v>
      </c>
      <c r="AC17" s="532"/>
      <c r="AD17" s="532"/>
      <c r="AE17" s="532"/>
      <c r="AF17" s="532"/>
      <c r="AG17" s="532"/>
      <c r="AH17" s="532"/>
      <c r="AI17" s="532"/>
      <c r="AJ17" s="532"/>
      <c r="AK17" s="532"/>
      <c r="AL17" s="532"/>
      <c r="AM17" s="532"/>
      <c r="AN17" s="532"/>
      <c r="AO17" s="532"/>
      <c r="AP17" s="532"/>
      <c r="AQ17" s="532"/>
      <c r="AR17" s="532"/>
      <c r="AS17" s="532"/>
      <c r="AT17" s="532"/>
      <c r="AU17" s="532"/>
      <c r="AV17" s="532"/>
      <c r="AW17" s="532"/>
      <c r="AX17" s="532"/>
      <c r="AY17" s="532"/>
    </row>
    <row r="18" spans="1:51" ht="15" x14ac:dyDescent="0.25">
      <c r="B18" s="696" t="s">
        <v>178</v>
      </c>
      <c r="C18" s="697"/>
      <c r="D18" s="240">
        <v>1.07</v>
      </c>
      <c r="E18" s="240">
        <v>0.8</v>
      </c>
      <c r="F18" s="240">
        <v>0.12</v>
      </c>
      <c r="G18" s="468">
        <f>SUM(D18:F18)</f>
        <v>1.9900000000000002</v>
      </c>
      <c r="H18" s="173">
        <v>0.61</v>
      </c>
      <c r="I18" s="161">
        <f t="shared" si="0"/>
        <v>0.19</v>
      </c>
      <c r="J18" s="162">
        <f t="shared" ref="J18:J29" si="5">ROUND((Q18*0.85)/3.5,2)</f>
        <v>0.38</v>
      </c>
      <c r="K18" s="161">
        <f t="shared" si="1"/>
        <v>1.29</v>
      </c>
      <c r="L18" s="162">
        <f t="shared" si="2"/>
        <v>0.03</v>
      </c>
      <c r="M18" s="163">
        <f t="shared" si="3"/>
        <v>0.6</v>
      </c>
      <c r="N18" s="239">
        <f t="shared" si="4"/>
        <v>2.69</v>
      </c>
      <c r="O18" s="158">
        <f>SUM(G18,N18)</f>
        <v>4.68</v>
      </c>
      <c r="P18" s="532"/>
      <c r="Q18" s="532">
        <f t="shared" ref="Q18:Q28" si="6">AA18</f>
        <v>1.56</v>
      </c>
      <c r="R18" s="532">
        <f t="shared" ref="R18:R28" si="7">Z18</f>
        <v>0.61</v>
      </c>
      <c r="S18" s="532"/>
      <c r="T18" s="532"/>
      <c r="U18" s="532" t="s">
        <v>262</v>
      </c>
      <c r="V18" s="532">
        <v>1.07</v>
      </c>
      <c r="W18" s="532">
        <v>0.8</v>
      </c>
      <c r="X18" s="532">
        <v>0.12</v>
      </c>
      <c r="Y18" s="532">
        <v>0.61</v>
      </c>
      <c r="Z18" s="532">
        <v>0.61</v>
      </c>
      <c r="AA18" s="532">
        <v>1.56</v>
      </c>
      <c r="AB18" s="532">
        <v>4.7699999999999996</v>
      </c>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row>
    <row r="19" spans="1:51" ht="15" x14ac:dyDescent="0.25">
      <c r="B19" s="696" t="s">
        <v>408</v>
      </c>
      <c r="C19" s="697"/>
      <c r="D19" s="160">
        <v>1.68</v>
      </c>
      <c r="E19" s="160">
        <v>1.1100000000000001</v>
      </c>
      <c r="F19" s="160">
        <v>0.19</v>
      </c>
      <c r="G19" s="468">
        <f>SUM(D19:F19)</f>
        <v>2.98</v>
      </c>
      <c r="H19" s="173">
        <v>0.65</v>
      </c>
      <c r="I19" s="161">
        <f t="shared" si="0"/>
        <v>0.37</v>
      </c>
      <c r="J19" s="162">
        <f t="shared" si="5"/>
        <v>0.73</v>
      </c>
      <c r="K19" s="161">
        <f t="shared" si="1"/>
        <v>2.48</v>
      </c>
      <c r="L19" s="162">
        <f t="shared" si="2"/>
        <v>0.06</v>
      </c>
      <c r="M19" s="163">
        <f t="shared" si="3"/>
        <v>1.2</v>
      </c>
      <c r="N19" s="239">
        <f t="shared" si="4"/>
        <v>4.7</v>
      </c>
      <c r="O19" s="158">
        <f>SUM(G19,N19)</f>
        <v>7.68</v>
      </c>
      <c r="P19" s="532"/>
      <c r="Q19" s="532">
        <f t="shared" si="6"/>
        <v>3.02</v>
      </c>
      <c r="R19" s="532">
        <f t="shared" si="7"/>
        <v>1.18</v>
      </c>
      <c r="S19" s="532"/>
      <c r="T19" s="532"/>
      <c r="U19" s="532" t="s">
        <v>406</v>
      </c>
      <c r="V19" s="532">
        <v>1.68</v>
      </c>
      <c r="W19" s="532">
        <v>1.1100000000000001</v>
      </c>
      <c r="X19" s="532">
        <v>0.19</v>
      </c>
      <c r="Y19" s="532">
        <v>0.65</v>
      </c>
      <c r="Z19" s="532">
        <v>1.18</v>
      </c>
      <c r="AA19" s="532">
        <v>3.02</v>
      </c>
      <c r="AB19" s="532">
        <v>7.84</v>
      </c>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row>
    <row r="20" spans="1:51" ht="15" x14ac:dyDescent="0.25">
      <c r="B20" s="696" t="s">
        <v>271</v>
      </c>
      <c r="C20" s="697"/>
      <c r="D20" s="172">
        <v>2.77</v>
      </c>
      <c r="E20" s="172">
        <v>2.09</v>
      </c>
      <c r="F20" s="172">
        <v>0.61</v>
      </c>
      <c r="G20" s="467">
        <f t="shared" ref="G20:G25" si="8">SUM(D20:F20)</f>
        <v>5.47</v>
      </c>
      <c r="H20" s="173">
        <v>1.17</v>
      </c>
      <c r="I20" s="173">
        <f t="shared" si="0"/>
        <v>0.46</v>
      </c>
      <c r="J20" s="162">
        <f t="shared" si="5"/>
        <v>0.91</v>
      </c>
      <c r="K20" s="173">
        <f t="shared" si="1"/>
        <v>3.09</v>
      </c>
      <c r="L20" s="174">
        <f t="shared" si="2"/>
        <v>7.0000000000000007E-2</v>
      </c>
      <c r="M20" s="163">
        <f t="shared" si="3"/>
        <v>1.4</v>
      </c>
      <c r="N20" s="239">
        <f t="shared" si="4"/>
        <v>6.1199999999999992</v>
      </c>
      <c r="O20" s="176">
        <f>SUM(G20,N20)</f>
        <v>11.59</v>
      </c>
      <c r="P20" s="532"/>
      <c r="Q20" s="532">
        <f t="shared" si="6"/>
        <v>3.73</v>
      </c>
      <c r="R20" s="532">
        <f t="shared" si="7"/>
        <v>1.45</v>
      </c>
      <c r="S20" s="532"/>
      <c r="T20" s="532"/>
      <c r="U20" s="532" t="s">
        <v>260</v>
      </c>
      <c r="V20" s="532">
        <v>2.77</v>
      </c>
      <c r="W20" s="532">
        <v>2.09</v>
      </c>
      <c r="X20" s="532">
        <v>0.61</v>
      </c>
      <c r="Y20" s="532">
        <v>1.17</v>
      </c>
      <c r="Z20" s="532">
        <v>1.45</v>
      </c>
      <c r="AA20" s="532">
        <v>3.73</v>
      </c>
      <c r="AB20" s="532">
        <v>11.82</v>
      </c>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row>
    <row r="21" spans="1:51" ht="15" x14ac:dyDescent="0.25">
      <c r="B21" s="696" t="s">
        <v>418</v>
      </c>
      <c r="C21" s="697"/>
      <c r="D21" s="172">
        <v>2.11</v>
      </c>
      <c r="E21" s="172">
        <v>1.99</v>
      </c>
      <c r="F21" s="172">
        <v>0.27</v>
      </c>
      <c r="G21" s="467">
        <f t="shared" si="8"/>
        <v>4.3699999999999992</v>
      </c>
      <c r="H21" s="173">
        <v>0.63</v>
      </c>
      <c r="I21" s="173">
        <f t="shared" si="0"/>
        <v>0.35</v>
      </c>
      <c r="J21" s="162">
        <f t="shared" si="5"/>
        <v>0.69</v>
      </c>
      <c r="K21" s="173">
        <f t="shared" si="1"/>
        <v>2.35</v>
      </c>
      <c r="L21" s="174">
        <f t="shared" si="2"/>
        <v>0.06</v>
      </c>
      <c r="M21" s="163">
        <f t="shared" si="3"/>
        <v>1.2</v>
      </c>
      <c r="N21" s="239">
        <f t="shared" si="4"/>
        <v>4.53</v>
      </c>
      <c r="O21" s="176">
        <f t="shared" ref="O21:O27" si="9">SUM(G21,N21)</f>
        <v>8.8999999999999986</v>
      </c>
      <c r="P21" s="532"/>
      <c r="Q21" s="532">
        <f t="shared" si="6"/>
        <v>2.85</v>
      </c>
      <c r="R21" s="532">
        <f t="shared" si="7"/>
        <v>1.1100000000000001</v>
      </c>
      <c r="S21" s="532"/>
      <c r="T21" s="532"/>
      <c r="U21" s="532" t="s">
        <v>276</v>
      </c>
      <c r="V21" s="532">
        <v>2.11</v>
      </c>
      <c r="W21" s="532">
        <v>1.99</v>
      </c>
      <c r="X21" s="532">
        <v>0.27</v>
      </c>
      <c r="Y21" s="532">
        <v>0.63</v>
      </c>
      <c r="Z21" s="532">
        <v>1.1100000000000001</v>
      </c>
      <c r="AA21" s="532">
        <v>2.85</v>
      </c>
      <c r="AB21" s="532">
        <v>8.99</v>
      </c>
      <c r="AC21" s="532"/>
      <c r="AD21" s="532"/>
      <c r="AE21" s="532"/>
      <c r="AF21" s="532"/>
      <c r="AG21" s="532"/>
      <c r="AH21" s="532"/>
      <c r="AI21" s="532"/>
      <c r="AJ21" s="532"/>
      <c r="AK21" s="532"/>
      <c r="AL21" s="532"/>
      <c r="AM21" s="532"/>
      <c r="AN21" s="532"/>
      <c r="AO21" s="532"/>
      <c r="AP21" s="532"/>
      <c r="AQ21" s="532"/>
      <c r="AR21" s="532"/>
      <c r="AS21" s="532"/>
      <c r="AT21" s="532"/>
      <c r="AU21" s="532"/>
      <c r="AV21" s="532"/>
      <c r="AW21" s="532"/>
      <c r="AX21" s="532"/>
      <c r="AY21" s="532"/>
    </row>
    <row r="22" spans="1:51" ht="15" x14ac:dyDescent="0.25">
      <c r="A22" s="532"/>
      <c r="B22" s="696" t="s">
        <v>426</v>
      </c>
      <c r="C22" s="697"/>
      <c r="D22" s="172">
        <v>1.42</v>
      </c>
      <c r="E22" s="172">
        <v>0.92</v>
      </c>
      <c r="F22" s="172">
        <v>0.15</v>
      </c>
      <c r="G22" s="467">
        <f t="shared" si="8"/>
        <v>2.4899999999999998</v>
      </c>
      <c r="H22" s="173">
        <v>0.41</v>
      </c>
      <c r="I22" s="173">
        <f t="shared" si="0"/>
        <v>0.28000000000000003</v>
      </c>
      <c r="J22" s="162">
        <f t="shared" si="5"/>
        <v>0.55000000000000004</v>
      </c>
      <c r="K22" s="173">
        <f t="shared" si="1"/>
        <v>1.87</v>
      </c>
      <c r="L22" s="174">
        <f t="shared" si="2"/>
        <v>0.04</v>
      </c>
      <c r="M22" s="163">
        <f t="shared" si="3"/>
        <v>0.8</v>
      </c>
      <c r="N22" s="239">
        <f t="shared" si="4"/>
        <v>3.3600000000000003</v>
      </c>
      <c r="O22" s="176">
        <f t="shared" si="9"/>
        <v>5.85</v>
      </c>
      <c r="P22" s="532"/>
      <c r="Q22" s="532">
        <f t="shared" si="6"/>
        <v>2.2799999999999998</v>
      </c>
      <c r="R22" s="532">
        <f t="shared" si="7"/>
        <v>0.89</v>
      </c>
      <c r="S22" s="532"/>
      <c r="T22" s="532"/>
      <c r="U22" s="532" t="s">
        <v>425</v>
      </c>
      <c r="V22" s="532">
        <v>1.42</v>
      </c>
      <c r="W22" s="532">
        <v>0.92</v>
      </c>
      <c r="X22" s="532">
        <v>0.15</v>
      </c>
      <c r="Y22" s="532">
        <v>0.41</v>
      </c>
      <c r="Z22" s="532">
        <v>0.89</v>
      </c>
      <c r="AA22" s="532">
        <v>2.2799999999999998</v>
      </c>
      <c r="AB22" s="532">
        <v>6.07</v>
      </c>
      <c r="AC22" s="532"/>
      <c r="AD22" s="532"/>
      <c r="AE22" s="532"/>
      <c r="AF22" s="532"/>
      <c r="AG22" s="532"/>
      <c r="AH22" s="532"/>
      <c r="AI22" s="532"/>
      <c r="AJ22" s="532"/>
      <c r="AK22" s="532"/>
      <c r="AL22" s="532"/>
      <c r="AM22" s="532"/>
      <c r="AN22" s="532"/>
      <c r="AO22" s="532"/>
      <c r="AP22" s="532"/>
      <c r="AQ22" s="532"/>
      <c r="AR22" s="532"/>
      <c r="AS22" s="532"/>
      <c r="AT22" s="532"/>
      <c r="AU22" s="532"/>
      <c r="AV22" s="532"/>
      <c r="AW22" s="532"/>
      <c r="AX22" s="532"/>
      <c r="AY22" s="532"/>
    </row>
    <row r="23" spans="1:51" ht="15" x14ac:dyDescent="0.25">
      <c r="B23" s="696" t="s">
        <v>177</v>
      </c>
      <c r="C23" s="697"/>
      <c r="D23" s="160">
        <v>2.17</v>
      </c>
      <c r="E23" s="160">
        <v>1.41</v>
      </c>
      <c r="F23" s="160">
        <v>0.24</v>
      </c>
      <c r="G23" s="468">
        <f t="shared" si="8"/>
        <v>3.8200000000000003</v>
      </c>
      <c r="H23" s="173">
        <v>0.79</v>
      </c>
      <c r="I23" s="161">
        <f t="shared" si="0"/>
        <v>0.48</v>
      </c>
      <c r="J23" s="162">
        <f t="shared" si="5"/>
        <v>0.95</v>
      </c>
      <c r="K23" s="161">
        <f t="shared" si="1"/>
        <v>3.23</v>
      </c>
      <c r="L23" s="162">
        <f t="shared" si="2"/>
        <v>0.08</v>
      </c>
      <c r="M23" s="163">
        <f t="shared" si="3"/>
        <v>1.6</v>
      </c>
      <c r="N23" s="239">
        <f t="shared" ref="N23:N29" si="10">SUM(H23,I23,K23,M23)</f>
        <v>6.1</v>
      </c>
      <c r="O23" s="158">
        <f t="shared" si="9"/>
        <v>9.92</v>
      </c>
      <c r="P23" s="532"/>
      <c r="Q23" s="532">
        <f t="shared" si="6"/>
        <v>3.91</v>
      </c>
      <c r="R23" s="532">
        <f t="shared" si="7"/>
        <v>1.53</v>
      </c>
      <c r="S23" s="532"/>
      <c r="T23" s="532"/>
      <c r="U23" s="532" t="s">
        <v>261</v>
      </c>
      <c r="V23" s="532">
        <v>2.17</v>
      </c>
      <c r="W23" s="532">
        <v>1.41</v>
      </c>
      <c r="X23" s="532">
        <v>0.24</v>
      </c>
      <c r="Y23" s="532">
        <v>0.79</v>
      </c>
      <c r="Z23" s="532">
        <v>1.53</v>
      </c>
      <c r="AA23" s="532">
        <v>3.91</v>
      </c>
      <c r="AB23" s="532">
        <v>10.06</v>
      </c>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row>
    <row r="24" spans="1:51" ht="15" x14ac:dyDescent="0.25">
      <c r="B24" s="696" t="s">
        <v>270</v>
      </c>
      <c r="C24" s="697"/>
      <c r="D24" s="160">
        <v>1.79</v>
      </c>
      <c r="E24" s="160">
        <v>1.1399999999999999</v>
      </c>
      <c r="F24" s="160">
        <v>0.2</v>
      </c>
      <c r="G24" s="468">
        <f t="shared" si="8"/>
        <v>3.13</v>
      </c>
      <c r="H24" s="173">
        <v>0.5</v>
      </c>
      <c r="I24" s="161">
        <f t="shared" si="0"/>
        <v>0.38</v>
      </c>
      <c r="J24" s="162">
        <f t="shared" si="5"/>
        <v>0.74</v>
      </c>
      <c r="K24" s="161">
        <f t="shared" si="1"/>
        <v>2.52</v>
      </c>
      <c r="L24" s="162">
        <f t="shared" si="2"/>
        <v>0.06</v>
      </c>
      <c r="M24" s="163">
        <f t="shared" si="3"/>
        <v>1.2</v>
      </c>
      <c r="N24" s="239">
        <f>SUM(H24,I24,K24,M24)</f>
        <v>4.5999999999999996</v>
      </c>
      <c r="O24" s="158">
        <f>SUM(G24,N24)</f>
        <v>7.7299999999999995</v>
      </c>
      <c r="P24" s="532"/>
      <c r="Q24" s="532">
        <f t="shared" si="6"/>
        <v>3.04</v>
      </c>
      <c r="R24" s="532">
        <f t="shared" si="7"/>
        <v>1.19</v>
      </c>
      <c r="S24" s="532"/>
      <c r="T24" s="532"/>
      <c r="U24" s="532" t="s">
        <v>268</v>
      </c>
      <c r="V24" s="532">
        <v>1.79</v>
      </c>
      <c r="W24" s="532">
        <v>1.1399999999999999</v>
      </c>
      <c r="X24" s="532">
        <v>0.2</v>
      </c>
      <c r="Y24" s="532">
        <v>0.5</v>
      </c>
      <c r="Z24" s="532">
        <v>1.19</v>
      </c>
      <c r="AA24" s="532">
        <v>3.04</v>
      </c>
      <c r="AB24" s="532">
        <v>7.86</v>
      </c>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row>
    <row r="25" spans="1:51" ht="15" x14ac:dyDescent="0.25">
      <c r="B25" s="462" t="s">
        <v>462</v>
      </c>
      <c r="C25" s="463"/>
      <c r="D25" s="160">
        <v>1.06</v>
      </c>
      <c r="E25" s="160">
        <v>0.68</v>
      </c>
      <c r="F25" s="160">
        <v>0.11</v>
      </c>
      <c r="G25" s="468">
        <f t="shared" si="8"/>
        <v>1.8500000000000003</v>
      </c>
      <c r="H25" s="173">
        <v>0.41</v>
      </c>
      <c r="I25" s="161">
        <f t="shared" si="0"/>
        <v>0.23</v>
      </c>
      <c r="J25" s="162">
        <f t="shared" si="5"/>
        <v>0.46</v>
      </c>
      <c r="K25" s="161">
        <f t="shared" si="1"/>
        <v>1.56</v>
      </c>
      <c r="L25" s="162">
        <f t="shared" si="2"/>
        <v>0.04</v>
      </c>
      <c r="M25" s="163">
        <f t="shared" si="3"/>
        <v>0.8</v>
      </c>
      <c r="N25" s="239">
        <f>SUM(H25,I25,K25,M25)</f>
        <v>3</v>
      </c>
      <c r="O25" s="158">
        <f>SUM(G25,N25)</f>
        <v>4.8500000000000005</v>
      </c>
      <c r="P25" s="532"/>
      <c r="Q25" s="532">
        <f t="shared" si="6"/>
        <v>1.9</v>
      </c>
      <c r="R25" s="532">
        <f t="shared" si="7"/>
        <v>0.74</v>
      </c>
      <c r="S25" s="532"/>
      <c r="T25" s="532"/>
      <c r="U25" s="532" t="s">
        <v>421</v>
      </c>
      <c r="V25" s="532">
        <v>1.06</v>
      </c>
      <c r="W25" s="532">
        <v>0.68</v>
      </c>
      <c r="X25" s="532">
        <v>0.11</v>
      </c>
      <c r="Y25" s="532">
        <v>0.41</v>
      </c>
      <c r="Z25" s="532">
        <v>0.74</v>
      </c>
      <c r="AA25" s="532">
        <v>1.9</v>
      </c>
      <c r="AB25" s="532">
        <v>4.9000000000000004</v>
      </c>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row>
    <row r="26" spans="1:51" ht="15" x14ac:dyDescent="0.25">
      <c r="B26" s="696" t="s">
        <v>179</v>
      </c>
      <c r="C26" s="697"/>
      <c r="D26" s="160">
        <v>1.54</v>
      </c>
      <c r="E26" s="160">
        <v>1.4</v>
      </c>
      <c r="F26" s="160">
        <v>0.49</v>
      </c>
      <c r="G26" s="468">
        <f t="shared" ref="G26:G35" si="11">SUM(D26:F26)</f>
        <v>3.4299999999999997</v>
      </c>
      <c r="H26" s="173">
        <v>1.02</v>
      </c>
      <c r="I26" s="161">
        <f t="shared" si="0"/>
        <v>0.56999999999999995</v>
      </c>
      <c r="J26" s="162">
        <f t="shared" si="5"/>
        <v>1.1200000000000001</v>
      </c>
      <c r="K26" s="161">
        <f t="shared" si="1"/>
        <v>3.81</v>
      </c>
      <c r="L26" s="162">
        <f t="shared" si="2"/>
        <v>0.09</v>
      </c>
      <c r="M26" s="163">
        <f t="shared" si="3"/>
        <v>1.8</v>
      </c>
      <c r="N26" s="239">
        <f t="shared" si="10"/>
        <v>7.2</v>
      </c>
      <c r="O26" s="158">
        <f t="shared" si="9"/>
        <v>10.629999999999999</v>
      </c>
      <c r="P26" s="532"/>
      <c r="Q26" s="532">
        <f t="shared" si="6"/>
        <v>4.6100000000000003</v>
      </c>
      <c r="R26" s="532">
        <f t="shared" si="7"/>
        <v>1.8</v>
      </c>
      <c r="S26" s="532"/>
      <c r="T26" s="532"/>
      <c r="U26" s="532" t="s">
        <v>263</v>
      </c>
      <c r="V26" s="532">
        <v>1.54</v>
      </c>
      <c r="W26" s="532">
        <v>1.4</v>
      </c>
      <c r="X26" s="532">
        <v>0.49</v>
      </c>
      <c r="Y26" s="532">
        <v>1.02</v>
      </c>
      <c r="Z26" s="532">
        <v>1.8</v>
      </c>
      <c r="AA26" s="532">
        <v>4.6100000000000003</v>
      </c>
      <c r="AB26" s="532">
        <v>10.86</v>
      </c>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row>
    <row r="27" spans="1:51" ht="15" x14ac:dyDescent="0.25">
      <c r="B27" s="696" t="s">
        <v>409</v>
      </c>
      <c r="C27" s="697"/>
      <c r="D27" s="240">
        <v>2.48</v>
      </c>
      <c r="E27" s="240">
        <v>2.21</v>
      </c>
      <c r="F27" s="240">
        <v>0.92</v>
      </c>
      <c r="G27" s="468">
        <f t="shared" si="11"/>
        <v>5.6099999999999994</v>
      </c>
      <c r="H27" s="173">
        <v>2.29</v>
      </c>
      <c r="I27" s="161">
        <f t="shared" si="0"/>
        <v>0.27</v>
      </c>
      <c r="J27" s="162">
        <f t="shared" si="5"/>
        <v>0.52</v>
      </c>
      <c r="K27" s="161">
        <f t="shared" si="1"/>
        <v>1.77</v>
      </c>
      <c r="L27" s="162">
        <f t="shared" si="2"/>
        <v>0.09</v>
      </c>
      <c r="M27" s="163">
        <f t="shared" si="3"/>
        <v>1.8</v>
      </c>
      <c r="N27" s="239">
        <f t="shared" si="10"/>
        <v>6.13</v>
      </c>
      <c r="O27" s="158">
        <f t="shared" si="9"/>
        <v>11.739999999999998</v>
      </c>
      <c r="P27" s="532"/>
      <c r="Q27" s="532">
        <f t="shared" si="6"/>
        <v>2.15</v>
      </c>
      <c r="R27" s="532">
        <f t="shared" si="7"/>
        <v>1.83</v>
      </c>
      <c r="S27" s="532"/>
      <c r="T27" s="532"/>
      <c r="U27" s="532" t="s">
        <v>422</v>
      </c>
      <c r="V27" s="532">
        <v>2.48</v>
      </c>
      <c r="W27" s="532">
        <v>2.21</v>
      </c>
      <c r="X27" s="532">
        <v>0.92</v>
      </c>
      <c r="Y27" s="532">
        <v>2.29</v>
      </c>
      <c r="Z27" s="532">
        <v>1.83</v>
      </c>
      <c r="AA27" s="532">
        <v>2.15</v>
      </c>
      <c r="AB27" s="532">
        <v>11.89</v>
      </c>
      <c r="AC27" s="532"/>
      <c r="AD27" s="532"/>
      <c r="AE27" s="532"/>
      <c r="AF27" s="532"/>
      <c r="AG27" s="532"/>
      <c r="AH27" s="532"/>
      <c r="AI27" s="532"/>
      <c r="AJ27" s="532"/>
      <c r="AK27" s="532"/>
      <c r="AL27" s="532"/>
      <c r="AM27" s="532"/>
      <c r="AN27" s="532"/>
      <c r="AO27" s="532"/>
      <c r="AP27" s="532"/>
      <c r="AQ27" s="532"/>
      <c r="AR27" s="532"/>
      <c r="AS27" s="532"/>
      <c r="AT27" s="532"/>
      <c r="AU27" s="532"/>
      <c r="AV27" s="532"/>
      <c r="AW27" s="532"/>
      <c r="AX27" s="532"/>
      <c r="AY27" s="532"/>
    </row>
    <row r="28" spans="1:51" ht="15" x14ac:dyDescent="0.25">
      <c r="A28" s="532"/>
      <c r="B28" s="562" t="s">
        <v>410</v>
      </c>
      <c r="C28" s="563"/>
      <c r="D28" s="240">
        <v>3.31</v>
      </c>
      <c r="E28" s="240">
        <v>2.94</v>
      </c>
      <c r="F28" s="240">
        <v>1.23</v>
      </c>
      <c r="G28" s="468">
        <f t="shared" si="11"/>
        <v>7.48</v>
      </c>
      <c r="H28" s="173">
        <v>3.06</v>
      </c>
      <c r="I28" s="161">
        <f t="shared" si="0"/>
        <v>0.36</v>
      </c>
      <c r="J28" s="162">
        <f t="shared" si="5"/>
        <v>0.7</v>
      </c>
      <c r="K28" s="161">
        <f t="shared" si="1"/>
        <v>2.38</v>
      </c>
      <c r="L28" s="162">
        <f t="shared" si="2"/>
        <v>0.12</v>
      </c>
      <c r="M28" s="163">
        <f t="shared" si="3"/>
        <v>2.4</v>
      </c>
      <c r="N28" s="239">
        <f>SUM(H28,I28,K28,M28)</f>
        <v>8.1999999999999993</v>
      </c>
      <c r="O28" s="158">
        <f>SUM(G28,N28)</f>
        <v>15.68</v>
      </c>
      <c r="P28" s="532"/>
      <c r="Q28" s="532">
        <f t="shared" si="6"/>
        <v>2.87</v>
      </c>
      <c r="R28" s="532">
        <f t="shared" si="7"/>
        <v>2.44</v>
      </c>
      <c r="S28" s="532"/>
      <c r="T28" s="532"/>
      <c r="U28" s="532" t="s">
        <v>407</v>
      </c>
      <c r="V28" s="532">
        <v>3.31</v>
      </c>
      <c r="W28" s="532">
        <v>2.94</v>
      </c>
      <c r="X28" s="532">
        <v>1.23</v>
      </c>
      <c r="Y28" s="532">
        <v>3.06</v>
      </c>
      <c r="Z28" s="532">
        <v>2.44</v>
      </c>
      <c r="AA28" s="532">
        <v>2.87</v>
      </c>
      <c r="AB28" s="532">
        <v>15.85</v>
      </c>
      <c r="AC28" s="472">
        <f>SUM(V30:AA30)</f>
        <v>5.8134999999999994</v>
      </c>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row>
    <row r="29" spans="1:51" ht="15" x14ac:dyDescent="0.25">
      <c r="B29" s="696" t="s">
        <v>225</v>
      </c>
      <c r="C29" s="697"/>
      <c r="D29" s="240">
        <v>0.9163</v>
      </c>
      <c r="E29" s="240">
        <v>0.53899999999999992</v>
      </c>
      <c r="F29" s="240">
        <v>8.4699999999999998E-2</v>
      </c>
      <c r="G29" s="468">
        <f t="shared" si="11"/>
        <v>1.5399999999999998</v>
      </c>
      <c r="H29" s="173">
        <v>0.40810000000000002</v>
      </c>
      <c r="I29" s="161">
        <f t="shared" si="0"/>
        <v>0.25</v>
      </c>
      <c r="J29" s="162">
        <f t="shared" si="5"/>
        <v>0.49</v>
      </c>
      <c r="K29" s="161">
        <f t="shared" si="1"/>
        <v>1.67</v>
      </c>
      <c r="L29" s="162">
        <f t="shared" si="2"/>
        <v>0.09</v>
      </c>
      <c r="M29" s="163">
        <f t="shared" si="3"/>
        <v>1.8</v>
      </c>
      <c r="N29" s="239">
        <f t="shared" si="10"/>
        <v>4.1280999999999999</v>
      </c>
      <c r="O29" s="158">
        <f>SUM(G29,N29)</f>
        <v>5.6680999999999999</v>
      </c>
      <c r="P29" s="532"/>
      <c r="Q29" s="472">
        <f>AA30</f>
        <v>2.0174000000000003</v>
      </c>
      <c r="R29" s="472">
        <f>Z30</f>
        <v>1.8479999999999999</v>
      </c>
      <c r="S29" s="532"/>
      <c r="T29" s="532"/>
      <c r="U29" s="532" t="s">
        <v>264</v>
      </c>
      <c r="V29" s="571">
        <v>1.19</v>
      </c>
      <c r="W29" s="571">
        <v>0.7</v>
      </c>
      <c r="X29" s="571">
        <v>0.11</v>
      </c>
      <c r="Y29" s="571">
        <v>0.53</v>
      </c>
      <c r="Z29" s="571">
        <v>2.4</v>
      </c>
      <c r="AA29" s="571">
        <v>2.62</v>
      </c>
      <c r="AB29" s="571">
        <v>7.55</v>
      </c>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row>
    <row r="30" spans="1:51" ht="12.75" x14ac:dyDescent="0.2">
      <c r="B30" s="255" t="s">
        <v>182</v>
      </c>
      <c r="C30" s="454"/>
      <c r="D30" s="256"/>
      <c r="E30" s="256"/>
      <c r="F30" s="256"/>
      <c r="G30" s="257"/>
      <c r="H30" s="256"/>
      <c r="I30" s="256"/>
      <c r="J30" s="258"/>
      <c r="K30" s="258"/>
      <c r="L30" s="258"/>
      <c r="M30" s="258"/>
      <c r="N30" s="259"/>
      <c r="O30" s="260"/>
      <c r="P30" s="532"/>
      <c r="Q30" s="532"/>
      <c r="R30" s="532"/>
      <c r="S30" s="532"/>
      <c r="T30" s="532"/>
      <c r="U30" s="285" t="s">
        <v>274</v>
      </c>
      <c r="V30" s="570">
        <f t="shared" ref="V30:AA30" si="12">V29*0.77</f>
        <v>0.9163</v>
      </c>
      <c r="W30" s="570">
        <f t="shared" si="12"/>
        <v>0.53899999999999992</v>
      </c>
      <c r="X30" s="570">
        <f t="shared" si="12"/>
        <v>8.4699999999999998E-2</v>
      </c>
      <c r="Y30" s="570">
        <f t="shared" si="12"/>
        <v>0.40810000000000002</v>
      </c>
      <c r="Z30" s="570">
        <f t="shared" si="12"/>
        <v>1.8479999999999999</v>
      </c>
      <c r="AA30" s="570">
        <f t="shared" si="12"/>
        <v>2.0174000000000003</v>
      </c>
      <c r="AB30" s="570">
        <f>SUM(V30:AA30)</f>
        <v>5.8134999999999994</v>
      </c>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row>
    <row r="31" spans="1:51" ht="15" x14ac:dyDescent="0.25">
      <c r="B31" s="724" t="s">
        <v>209</v>
      </c>
      <c r="C31" s="725"/>
      <c r="D31" s="262">
        <v>0.39</v>
      </c>
      <c r="E31" s="262">
        <v>0.44</v>
      </c>
      <c r="F31" s="262">
        <v>0.72</v>
      </c>
      <c r="G31" s="469">
        <f>SUM(D31:F31)</f>
        <v>1.55</v>
      </c>
      <c r="H31" s="263">
        <v>0.56999999999999995</v>
      </c>
      <c r="I31" s="264">
        <f t="shared" ref="I31:I36" si="13">ROUND(K31*0.15,2)</f>
        <v>0.04</v>
      </c>
      <c r="J31" s="265">
        <f t="shared" ref="J31:J36" si="14">ROUND((Q31*0.85)/3.5,2)</f>
        <v>7.0000000000000007E-2</v>
      </c>
      <c r="K31" s="264">
        <f>ROUND(J31*Diesel,2)</f>
        <v>0.24</v>
      </c>
      <c r="L31" s="265">
        <f t="shared" ref="L31:L36" si="15">ROUND(R31/17,2)</f>
        <v>0.03</v>
      </c>
      <c r="M31" s="263">
        <f t="shared" ref="M31:M36" si="16">ROUND(L31*Labor,2)</f>
        <v>0.51</v>
      </c>
      <c r="N31" s="276">
        <f t="shared" ref="N31:N36" si="17">SUM(H31,I31,K31,M31)</f>
        <v>1.3599999999999999</v>
      </c>
      <c r="O31" s="267">
        <f t="shared" ref="O31:O37" si="18">SUM(G31,N31)</f>
        <v>2.91</v>
      </c>
      <c r="P31" s="532"/>
      <c r="Q31" s="532">
        <f t="shared" ref="Q31:Q36" si="19">AA31</f>
        <v>0.28999999999999998</v>
      </c>
      <c r="R31" s="532">
        <f t="shared" ref="R31:R36" si="20">Z31</f>
        <v>0.44</v>
      </c>
      <c r="S31" s="532"/>
      <c r="T31" s="532"/>
      <c r="U31" s="532" t="s">
        <v>265</v>
      </c>
      <c r="V31" s="532">
        <v>0.39</v>
      </c>
      <c r="W31" s="532">
        <v>0.44</v>
      </c>
      <c r="X31" s="532">
        <v>0.72</v>
      </c>
      <c r="Y31" s="532">
        <v>0.56999999999999995</v>
      </c>
      <c r="Z31" s="532">
        <v>0.44</v>
      </c>
      <c r="AA31" s="532">
        <v>0.28999999999999998</v>
      </c>
      <c r="AB31" s="532">
        <v>2.85</v>
      </c>
      <c r="AC31" s="532"/>
      <c r="AD31" s="532"/>
      <c r="AE31" s="532"/>
      <c r="AF31" s="532"/>
      <c r="AG31" s="532"/>
      <c r="AH31" s="532"/>
      <c r="AI31" s="532"/>
      <c r="AJ31" s="532"/>
      <c r="AK31" s="532"/>
      <c r="AL31" s="532"/>
      <c r="AM31" s="532"/>
      <c r="AN31" s="532"/>
      <c r="AO31" s="532"/>
      <c r="AP31" s="532"/>
      <c r="AQ31" s="532"/>
      <c r="AR31" s="532"/>
      <c r="AS31" s="532"/>
      <c r="AT31" s="532"/>
      <c r="AU31" s="532"/>
      <c r="AV31" s="532"/>
      <c r="AW31" s="532"/>
      <c r="AX31" s="532"/>
      <c r="AY31" s="532"/>
    </row>
    <row r="32" spans="1:51" ht="15" x14ac:dyDescent="0.25">
      <c r="B32" s="724" t="s">
        <v>209</v>
      </c>
      <c r="C32" s="725"/>
      <c r="D32" s="262">
        <v>0.39</v>
      </c>
      <c r="E32" s="262">
        <v>0.44</v>
      </c>
      <c r="F32" s="262">
        <v>0.72</v>
      </c>
      <c r="G32" s="469">
        <f>SUM(D32:F32)</f>
        <v>1.55</v>
      </c>
      <c r="H32" s="263">
        <v>0.56999999999999995</v>
      </c>
      <c r="I32" s="264">
        <f t="shared" si="13"/>
        <v>0.04</v>
      </c>
      <c r="J32" s="265">
        <f t="shared" si="14"/>
        <v>7.0000000000000007E-2</v>
      </c>
      <c r="K32" s="264">
        <f>ROUND(J32*Diesel,2)</f>
        <v>0.24</v>
      </c>
      <c r="L32" s="265">
        <f t="shared" si="15"/>
        <v>0.03</v>
      </c>
      <c r="M32" s="263">
        <f t="shared" si="16"/>
        <v>0.51</v>
      </c>
      <c r="N32" s="276">
        <f t="shared" si="17"/>
        <v>1.3599999999999999</v>
      </c>
      <c r="O32" s="267">
        <f t="shared" si="18"/>
        <v>2.91</v>
      </c>
      <c r="P32" s="532"/>
      <c r="Q32" s="532">
        <f t="shared" si="19"/>
        <v>0.28999999999999998</v>
      </c>
      <c r="R32" s="532">
        <f t="shared" si="20"/>
        <v>0.44</v>
      </c>
      <c r="S32" s="532"/>
      <c r="T32" s="532"/>
      <c r="U32" s="532" t="s">
        <v>265</v>
      </c>
      <c r="V32" s="532">
        <v>0.39</v>
      </c>
      <c r="W32" s="532">
        <v>0.44</v>
      </c>
      <c r="X32" s="532">
        <v>0.72</v>
      </c>
      <c r="Y32" s="532">
        <v>0.56999999999999995</v>
      </c>
      <c r="Z32" s="532">
        <v>0.44</v>
      </c>
      <c r="AA32" s="532">
        <v>0.28999999999999998</v>
      </c>
      <c r="AB32" s="532">
        <v>2.85</v>
      </c>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row>
    <row r="33" spans="1:51" ht="15" x14ac:dyDescent="0.25">
      <c r="B33" s="724" t="s">
        <v>166</v>
      </c>
      <c r="C33" s="725"/>
      <c r="D33" s="262">
        <v>0.32</v>
      </c>
      <c r="E33" s="262">
        <v>0.26</v>
      </c>
      <c r="F33" s="262">
        <v>0.42</v>
      </c>
      <c r="G33" s="469">
        <f>SUM(D33:F33)</f>
        <v>1</v>
      </c>
      <c r="H33" s="263">
        <v>0.28999999999999998</v>
      </c>
      <c r="I33" s="264">
        <f t="shared" si="13"/>
        <v>0.03</v>
      </c>
      <c r="J33" s="265">
        <f t="shared" si="14"/>
        <v>0.05</v>
      </c>
      <c r="K33" s="264">
        <f>ROUND(J33*Diesel,2)</f>
        <v>0.17</v>
      </c>
      <c r="L33" s="265">
        <f t="shared" si="15"/>
        <v>0.02</v>
      </c>
      <c r="M33" s="263">
        <f t="shared" si="16"/>
        <v>0.34</v>
      </c>
      <c r="N33" s="276">
        <f t="shared" si="17"/>
        <v>0.83000000000000007</v>
      </c>
      <c r="O33" s="267">
        <f t="shared" si="18"/>
        <v>1.83</v>
      </c>
      <c r="P33" s="532"/>
      <c r="Q33" s="532">
        <f t="shared" si="19"/>
        <v>0.2</v>
      </c>
      <c r="R33" s="532">
        <f t="shared" si="20"/>
        <v>0.3</v>
      </c>
      <c r="S33" s="532"/>
      <c r="T33" s="532"/>
      <c r="U33" s="121" t="s">
        <v>166</v>
      </c>
      <c r="V33" s="121">
        <v>0.32</v>
      </c>
      <c r="W33" s="121">
        <v>0.26</v>
      </c>
      <c r="X33" s="121">
        <v>0.42</v>
      </c>
      <c r="Y33" s="121">
        <v>0.28999999999999998</v>
      </c>
      <c r="Z33" s="121">
        <v>0.3</v>
      </c>
      <c r="AA33" s="121">
        <v>0.2</v>
      </c>
      <c r="AB33" s="121">
        <v>1.79</v>
      </c>
      <c r="AC33" s="532"/>
      <c r="AD33" s="532"/>
      <c r="AE33" s="532"/>
      <c r="AF33" s="532"/>
      <c r="AG33" s="532"/>
      <c r="AH33" s="532"/>
      <c r="AI33" s="532"/>
      <c r="AJ33" s="532"/>
      <c r="AK33" s="532"/>
      <c r="AL33" s="532"/>
      <c r="AM33" s="532"/>
      <c r="AN33" s="532"/>
      <c r="AO33" s="532"/>
      <c r="AP33" s="532"/>
      <c r="AQ33" s="532"/>
      <c r="AR33" s="532"/>
      <c r="AS33" s="532"/>
      <c r="AT33" s="532"/>
      <c r="AU33" s="532"/>
      <c r="AV33" s="532"/>
      <c r="AW33" s="532"/>
      <c r="AX33" s="532"/>
      <c r="AY33" s="532"/>
    </row>
    <row r="34" spans="1:51" ht="15" x14ac:dyDescent="0.25">
      <c r="B34" s="724" t="s">
        <v>167</v>
      </c>
      <c r="C34" s="725"/>
      <c r="D34" s="262">
        <v>0.35</v>
      </c>
      <c r="E34" s="262">
        <v>0.16</v>
      </c>
      <c r="F34" s="262">
        <v>0.26</v>
      </c>
      <c r="G34" s="469">
        <f t="shared" si="11"/>
        <v>0.77</v>
      </c>
      <c r="H34" s="263">
        <v>0.12</v>
      </c>
      <c r="I34" s="264">
        <f t="shared" si="13"/>
        <v>0.03</v>
      </c>
      <c r="J34" s="265">
        <f t="shared" si="14"/>
        <v>0.05</v>
      </c>
      <c r="K34" s="264">
        <f>ROUND(J34*Diesel,2)</f>
        <v>0.17</v>
      </c>
      <c r="L34" s="265">
        <f t="shared" si="15"/>
        <v>0.02</v>
      </c>
      <c r="M34" s="263">
        <f t="shared" si="16"/>
        <v>0.34</v>
      </c>
      <c r="N34" s="276">
        <f t="shared" si="17"/>
        <v>0.66</v>
      </c>
      <c r="O34" s="267">
        <f t="shared" si="18"/>
        <v>1.4300000000000002</v>
      </c>
      <c r="P34" s="532"/>
      <c r="Q34" s="532">
        <f t="shared" si="19"/>
        <v>0.2</v>
      </c>
      <c r="R34" s="532">
        <f t="shared" si="20"/>
        <v>0.3</v>
      </c>
      <c r="S34" s="532"/>
      <c r="T34" s="532"/>
      <c r="U34" s="532" t="s">
        <v>167</v>
      </c>
      <c r="V34" s="532">
        <v>0.35</v>
      </c>
      <c r="W34" s="532">
        <v>0.16</v>
      </c>
      <c r="X34" s="532">
        <v>0.26</v>
      </c>
      <c r="Y34" s="532">
        <v>0.12</v>
      </c>
      <c r="Z34" s="532">
        <v>0.3</v>
      </c>
      <c r="AA34" s="532">
        <v>0.2</v>
      </c>
      <c r="AB34" s="532">
        <v>1.38</v>
      </c>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row>
    <row r="35" spans="1:51" ht="15" x14ac:dyDescent="0.25">
      <c r="B35" s="724" t="s">
        <v>168</v>
      </c>
      <c r="C35" s="725"/>
      <c r="D35" s="262">
        <v>0.6</v>
      </c>
      <c r="E35" s="262">
        <v>0.42</v>
      </c>
      <c r="F35" s="262">
        <v>0.45</v>
      </c>
      <c r="G35" s="469">
        <f t="shared" si="11"/>
        <v>1.47</v>
      </c>
      <c r="H35" s="263">
        <v>0.17</v>
      </c>
      <c r="I35" s="264">
        <f t="shared" si="13"/>
        <v>0.02</v>
      </c>
      <c r="J35" s="265">
        <f t="shared" si="14"/>
        <v>0.03</v>
      </c>
      <c r="K35" s="264">
        <f>ROUND(J35*Gas,2)</f>
        <v>0.11</v>
      </c>
      <c r="L35" s="265">
        <f t="shared" si="15"/>
        <v>0.01</v>
      </c>
      <c r="M35" s="263">
        <f t="shared" si="16"/>
        <v>0.17</v>
      </c>
      <c r="N35" s="276">
        <f t="shared" si="17"/>
        <v>0.47</v>
      </c>
      <c r="O35" s="267">
        <f t="shared" si="18"/>
        <v>1.94</v>
      </c>
      <c r="P35" s="532"/>
      <c r="Q35" s="532">
        <f t="shared" si="19"/>
        <v>0.11</v>
      </c>
      <c r="R35" s="532">
        <f t="shared" si="20"/>
        <v>0.23</v>
      </c>
      <c r="S35" s="532"/>
      <c r="T35" s="532"/>
      <c r="U35" s="532" t="s">
        <v>168</v>
      </c>
      <c r="V35" s="532">
        <v>0.6</v>
      </c>
      <c r="W35" s="532">
        <v>0.42</v>
      </c>
      <c r="X35" s="532">
        <v>0.45</v>
      </c>
      <c r="Y35" s="532">
        <v>0.17</v>
      </c>
      <c r="Z35" s="532">
        <v>0.23</v>
      </c>
      <c r="AA35" s="532">
        <v>0.11</v>
      </c>
      <c r="AB35" s="532">
        <v>1.98</v>
      </c>
      <c r="AC35" s="532"/>
      <c r="AD35" s="532"/>
      <c r="AE35" s="532"/>
      <c r="AF35" s="532"/>
      <c r="AG35" s="532"/>
      <c r="AH35" s="532"/>
      <c r="AI35" s="532"/>
      <c r="AJ35" s="532"/>
      <c r="AK35" s="532"/>
      <c r="AL35" s="532"/>
      <c r="AM35" s="532"/>
      <c r="AN35" s="532"/>
      <c r="AO35" s="532"/>
      <c r="AP35" s="532"/>
      <c r="AQ35" s="532"/>
      <c r="AR35" s="532"/>
      <c r="AS35" s="532"/>
      <c r="AT35" s="532"/>
      <c r="AU35" s="532"/>
      <c r="AV35" s="532"/>
      <c r="AW35" s="532"/>
      <c r="AX35" s="532"/>
      <c r="AY35" s="532"/>
    </row>
    <row r="36" spans="1:51" s="37" customFormat="1" ht="15" x14ac:dyDescent="0.25">
      <c r="A36" s="154"/>
      <c r="B36" s="724" t="s">
        <v>170</v>
      </c>
      <c r="C36" s="725"/>
      <c r="D36" s="262">
        <v>0.25</v>
      </c>
      <c r="E36" s="262">
        <v>0.14000000000000001</v>
      </c>
      <c r="F36" s="262">
        <v>0.03</v>
      </c>
      <c r="G36" s="469">
        <f>SUM(D36:F36)</f>
        <v>0.42000000000000004</v>
      </c>
      <c r="H36" s="263">
        <v>0.05</v>
      </c>
      <c r="I36" s="264">
        <f t="shared" si="13"/>
        <v>0.06</v>
      </c>
      <c r="J36" s="265">
        <f t="shared" si="14"/>
        <v>0.12</v>
      </c>
      <c r="K36" s="264">
        <f>ROUND(J36*Gas,2)</f>
        <v>0.42</v>
      </c>
      <c r="L36" s="265">
        <f t="shared" si="15"/>
        <v>0.11</v>
      </c>
      <c r="M36" s="263">
        <f t="shared" si="16"/>
        <v>1.87</v>
      </c>
      <c r="N36" s="276">
        <f t="shared" si="17"/>
        <v>2.4000000000000004</v>
      </c>
      <c r="O36" s="267">
        <f t="shared" si="18"/>
        <v>2.8200000000000003</v>
      </c>
      <c r="P36" s="532"/>
      <c r="Q36" s="532">
        <f t="shared" si="19"/>
        <v>0.48</v>
      </c>
      <c r="R36" s="532">
        <f t="shared" si="20"/>
        <v>1.87</v>
      </c>
      <c r="S36" s="200"/>
      <c r="T36" s="200"/>
      <c r="U36" s="532" t="s">
        <v>170</v>
      </c>
      <c r="V36" s="532">
        <v>0.25</v>
      </c>
      <c r="W36" s="532">
        <v>0.14000000000000001</v>
      </c>
      <c r="X36" s="532">
        <v>0.03</v>
      </c>
      <c r="Y36" s="532">
        <v>0.05</v>
      </c>
      <c r="Z36" s="532">
        <v>1.87</v>
      </c>
      <c r="AA36" s="532">
        <v>0.48</v>
      </c>
      <c r="AB36" s="532">
        <v>2.82</v>
      </c>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row>
    <row r="37" spans="1:51" s="154" customFormat="1" ht="13.5" thickBot="1" x14ac:dyDescent="0.25">
      <c r="A37" s="200"/>
      <c r="B37" s="726" t="s">
        <v>458</v>
      </c>
      <c r="C37" s="727"/>
      <c r="D37" s="157">
        <f t="shared" ref="D37:I37" si="21">SUM(D17:D29,D31:D36)</f>
        <v>26.436300000000003</v>
      </c>
      <c r="E37" s="157">
        <f t="shared" si="21"/>
        <v>20.969000000000012</v>
      </c>
      <c r="F37" s="157">
        <f t="shared" si="21"/>
        <v>8.1446999999999967</v>
      </c>
      <c r="G37" s="157">
        <f t="shared" si="21"/>
        <v>55.55</v>
      </c>
      <c r="H37" s="157">
        <f t="shared" si="21"/>
        <v>14.158100000000001</v>
      </c>
      <c r="I37" s="157">
        <f t="shared" si="21"/>
        <v>4.43</v>
      </c>
      <c r="J37" s="470"/>
      <c r="K37" s="157">
        <f>SUM(K17:K29,K31:K36)</f>
        <v>29.509999999999998</v>
      </c>
      <c r="L37" s="157"/>
      <c r="M37" s="157">
        <f>SUM(M17:M29,M31:M36)</f>
        <v>20.740000000000006</v>
      </c>
      <c r="N37" s="157">
        <f>SUM(N17:N29,N31:N36)</f>
        <v>68.838100000000011</v>
      </c>
      <c r="O37" s="157">
        <f t="shared" si="18"/>
        <v>124.38810000000001</v>
      </c>
      <c r="P37" s="200"/>
      <c r="Q37" s="283">
        <f>SUM(Q20:Q36)</f>
        <v>30.927399999999995</v>
      </c>
      <c r="R37" s="283">
        <f>SUM(R20:R36)</f>
        <v>18.408000000000001</v>
      </c>
      <c r="S37" s="532"/>
      <c r="T37" s="532"/>
      <c r="U37" s="532" t="s">
        <v>266</v>
      </c>
      <c r="V37" s="532"/>
      <c r="W37" s="532"/>
      <c r="X37" s="532"/>
      <c r="Y37" s="532"/>
      <c r="Z37" s="532"/>
      <c r="AA37" s="532"/>
      <c r="AB37" s="532" t="s">
        <v>267</v>
      </c>
      <c r="AC37" s="532"/>
      <c r="AD37" s="532"/>
      <c r="AE37" s="532"/>
      <c r="AF37" s="532"/>
      <c r="AG37" s="532"/>
      <c r="AH37" s="532"/>
      <c r="AI37" s="532"/>
      <c r="AJ37" s="532"/>
      <c r="AK37" s="532"/>
      <c r="AL37" s="532"/>
      <c r="AM37" s="532"/>
      <c r="AN37" s="532"/>
      <c r="AO37" s="532"/>
      <c r="AP37" s="532"/>
      <c r="AQ37" s="532"/>
      <c r="AR37" s="532"/>
      <c r="AS37" s="532"/>
      <c r="AT37" s="532"/>
      <c r="AU37" s="532"/>
      <c r="AV37" s="532"/>
      <c r="AW37" s="532"/>
      <c r="AX37" s="532"/>
      <c r="AY37" s="532"/>
    </row>
    <row r="38" spans="1:51" s="154" customFormat="1" ht="14.25" x14ac:dyDescent="0.2">
      <c r="B38" s="285" t="s">
        <v>239</v>
      </c>
      <c r="C38" s="284"/>
      <c r="O38" s="574"/>
      <c r="P38" s="532"/>
      <c r="Q38" s="532"/>
      <c r="R38" s="532"/>
      <c r="S38" s="532"/>
      <c r="T38" s="532"/>
      <c r="U38" s="532" t="s">
        <v>269</v>
      </c>
      <c r="V38" s="532">
        <v>26.71</v>
      </c>
      <c r="W38" s="532">
        <v>21.13</v>
      </c>
      <c r="X38" s="532">
        <v>8.17</v>
      </c>
      <c r="Y38" s="532">
        <v>14.28</v>
      </c>
      <c r="Z38" s="532">
        <v>21.12</v>
      </c>
      <c r="AA38" s="532">
        <v>36.29</v>
      </c>
      <c r="AB38" s="532">
        <v>127.74</v>
      </c>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row>
    <row r="39" spans="1:51" ht="12.75" x14ac:dyDescent="0.2">
      <c r="B39" s="192"/>
      <c r="C39" s="192"/>
      <c r="D39" s="154"/>
      <c r="E39" s="154"/>
      <c r="F39" s="154"/>
      <c r="G39" s="154"/>
      <c r="H39" s="154"/>
      <c r="I39" s="154"/>
      <c r="J39" s="154"/>
      <c r="K39" s="154"/>
      <c r="L39" s="154"/>
      <c r="M39" s="154"/>
      <c r="N39" s="154"/>
      <c r="O39" s="154"/>
      <c r="P39" s="532"/>
      <c r="Q39" s="532"/>
      <c r="R39" s="532"/>
      <c r="S39" s="532"/>
      <c r="T39" s="532"/>
      <c r="U39" s="532"/>
      <c r="V39" s="473">
        <f t="shared" ref="V39:AA39" si="22">SUM(V17:V28,V30:V36)</f>
        <v>26.436300000000003</v>
      </c>
      <c r="W39" s="473">
        <f t="shared" si="22"/>
        <v>20.969000000000012</v>
      </c>
      <c r="X39" s="473">
        <f t="shared" si="22"/>
        <v>8.1446999999999967</v>
      </c>
      <c r="Y39" s="473">
        <f t="shared" si="22"/>
        <v>14.158100000000001</v>
      </c>
      <c r="Z39" s="473">
        <f t="shared" si="22"/>
        <v>20.568000000000005</v>
      </c>
      <c r="AA39" s="473">
        <f t="shared" si="22"/>
        <v>35.687399999999997</v>
      </c>
      <c r="AB39" s="473">
        <f>SUM(AB17:AB28,AB30:AB36)</f>
        <v>126.00349999999999</v>
      </c>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row>
    <row r="40" spans="1:51" ht="14.25" x14ac:dyDescent="0.2">
      <c r="B40" s="717" t="s">
        <v>537</v>
      </c>
      <c r="C40" s="718"/>
      <c r="D40" s="718"/>
      <c r="E40" s="719"/>
      <c r="F40" s="154"/>
      <c r="G40" s="154"/>
      <c r="H40" s="154"/>
      <c r="I40" s="154"/>
      <c r="J40" s="635"/>
      <c r="K40" s="154"/>
      <c r="L40" s="154"/>
      <c r="M40" s="154"/>
      <c r="N40" s="154"/>
      <c r="O40" s="154"/>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row>
    <row r="41" spans="1:51" ht="12.75" x14ac:dyDescent="0.2">
      <c r="B41" s="592" t="s">
        <v>310</v>
      </c>
      <c r="C41" s="486" t="s">
        <v>517</v>
      </c>
      <c r="D41" s="235"/>
      <c r="E41" s="236" t="s">
        <v>206</v>
      </c>
      <c r="F41" s="154"/>
      <c r="G41" s="154"/>
      <c r="H41" s="154"/>
      <c r="I41" s="154"/>
      <c r="J41" s="472"/>
      <c r="K41" s="154"/>
      <c r="L41" s="154"/>
      <c r="M41" s="154"/>
      <c r="N41" s="154"/>
      <c r="O41" s="154"/>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row>
    <row r="42" spans="1:51" ht="12.75" x14ac:dyDescent="0.2">
      <c r="B42" s="592" t="s">
        <v>183</v>
      </c>
      <c r="C42" s="486" t="s">
        <v>517</v>
      </c>
      <c r="D42" s="235"/>
      <c r="E42" s="236" t="s">
        <v>207</v>
      </c>
      <c r="F42" s="154"/>
      <c r="G42" s="154"/>
      <c r="H42" s="154"/>
      <c r="I42" s="154"/>
      <c r="J42" s="154"/>
      <c r="K42" s="154"/>
      <c r="L42" s="154"/>
      <c r="M42" s="154"/>
      <c r="N42" s="154"/>
      <c r="O42" s="154"/>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row>
    <row r="43" spans="1:51" s="154" customFormat="1" ht="12.75" x14ac:dyDescent="0.2">
      <c r="B43" s="592" t="s">
        <v>311</v>
      </c>
      <c r="C43" s="486" t="s">
        <v>517</v>
      </c>
      <c r="D43" s="235"/>
      <c r="E43" s="236" t="s">
        <v>226</v>
      </c>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row>
    <row r="44" spans="1:51" s="154" customFormat="1" ht="12.75" x14ac:dyDescent="0.2">
      <c r="B44" s="592" t="s">
        <v>184</v>
      </c>
      <c r="C44" s="486" t="s">
        <v>517</v>
      </c>
      <c r="D44" s="235"/>
      <c r="E44" s="236" t="s">
        <v>227</v>
      </c>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row>
    <row r="45" spans="1:51" s="154" customFormat="1" ht="12.75" x14ac:dyDescent="0.2">
      <c r="B45" s="592" t="s">
        <v>300</v>
      </c>
      <c r="C45" s="486" t="s">
        <v>517</v>
      </c>
      <c r="D45" s="235"/>
      <c r="E45" s="236" t="s">
        <v>228</v>
      </c>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c r="AM45" s="532"/>
      <c r="AN45" s="532"/>
      <c r="AO45" s="532"/>
      <c r="AP45" s="532"/>
      <c r="AQ45" s="532"/>
      <c r="AR45" s="532"/>
      <c r="AS45" s="532"/>
      <c r="AT45" s="532"/>
      <c r="AU45" s="532"/>
      <c r="AV45" s="532"/>
      <c r="AW45" s="532"/>
      <c r="AX45" s="532"/>
      <c r="AY45" s="532"/>
    </row>
    <row r="46" spans="1:51" ht="14.25" x14ac:dyDescent="0.2">
      <c r="B46" s="717"/>
      <c r="C46" s="718"/>
      <c r="D46" s="718"/>
      <c r="E46" s="719"/>
      <c r="F46" s="154"/>
      <c r="G46" s="154"/>
      <c r="H46" s="154"/>
      <c r="I46" s="154"/>
      <c r="J46" s="154"/>
      <c r="K46" s="154"/>
      <c r="L46" s="154"/>
      <c r="M46" s="154"/>
      <c r="N46" s="154"/>
      <c r="O46" s="154"/>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row>
    <row r="47" spans="1:51" ht="12.75" x14ac:dyDescent="0.2">
      <c r="B47" s="592" t="s">
        <v>305</v>
      </c>
      <c r="C47" s="486" t="s">
        <v>518</v>
      </c>
      <c r="D47" s="235"/>
      <c r="E47" s="236" t="s">
        <v>306</v>
      </c>
      <c r="F47" s="154"/>
      <c r="G47" s="154"/>
      <c r="H47" s="154"/>
      <c r="I47" s="154"/>
      <c r="J47" s="154"/>
      <c r="K47" s="154"/>
      <c r="L47" s="154"/>
      <c r="M47" s="154"/>
      <c r="N47" s="154"/>
      <c r="O47" s="154"/>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row>
    <row r="48" spans="1:51" ht="12.75" x14ac:dyDescent="0.2">
      <c r="B48" s="592" t="s">
        <v>183</v>
      </c>
      <c r="C48" s="486" t="s">
        <v>518</v>
      </c>
      <c r="D48" s="235"/>
      <c r="E48" s="236" t="s">
        <v>307</v>
      </c>
      <c r="F48" s="154"/>
      <c r="G48" s="154"/>
      <c r="H48" s="154"/>
      <c r="I48" s="154"/>
      <c r="J48" s="154"/>
      <c r="K48" s="154"/>
      <c r="L48" s="154"/>
      <c r="M48" s="154"/>
      <c r="N48" s="154"/>
      <c r="O48" s="154"/>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row>
    <row r="49" spans="1:51" ht="12.75" x14ac:dyDescent="0.2">
      <c r="B49" s="592" t="s">
        <v>304</v>
      </c>
      <c r="C49" s="486" t="s">
        <v>518</v>
      </c>
      <c r="D49" s="235"/>
      <c r="E49" s="236" t="s">
        <v>308</v>
      </c>
      <c r="F49" s="154"/>
      <c r="G49" s="154"/>
      <c r="H49" s="154"/>
      <c r="I49" s="154"/>
      <c r="J49" s="154"/>
      <c r="K49" s="154"/>
      <c r="L49" s="154"/>
      <c r="M49" s="154"/>
      <c r="N49" s="154"/>
      <c r="O49" s="154"/>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row>
    <row r="50" spans="1:51" ht="12.75" x14ac:dyDescent="0.2">
      <c r="B50" s="592" t="s">
        <v>184</v>
      </c>
      <c r="C50" s="486" t="s">
        <v>518</v>
      </c>
      <c r="D50" s="235"/>
      <c r="E50" s="236" t="s">
        <v>309</v>
      </c>
      <c r="F50" s="154"/>
      <c r="G50" s="154"/>
      <c r="H50" s="154"/>
      <c r="I50" s="154"/>
      <c r="J50" s="154"/>
      <c r="K50" s="154"/>
      <c r="L50" s="154"/>
      <c r="M50" s="154"/>
      <c r="N50" s="154"/>
      <c r="O50" s="154"/>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row>
    <row r="51" spans="1:51" ht="12.75" x14ac:dyDescent="0.2">
      <c r="B51" s="592" t="s">
        <v>292</v>
      </c>
      <c r="C51" s="486" t="s">
        <v>518</v>
      </c>
      <c r="D51" s="235"/>
      <c r="E51" s="236" t="s">
        <v>312</v>
      </c>
      <c r="F51" s="154"/>
      <c r="G51" s="154"/>
      <c r="H51" s="154"/>
      <c r="I51" s="154"/>
      <c r="J51" s="154"/>
      <c r="K51" s="154"/>
      <c r="L51" s="154"/>
      <c r="M51" s="154"/>
      <c r="N51" s="154"/>
      <c r="O51" s="154"/>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c r="AM51" s="532"/>
      <c r="AN51" s="532"/>
      <c r="AO51" s="532"/>
      <c r="AP51" s="532"/>
      <c r="AQ51" s="532"/>
      <c r="AR51" s="532"/>
      <c r="AS51" s="532"/>
      <c r="AT51" s="532"/>
      <c r="AU51" s="532"/>
      <c r="AV51" s="532"/>
      <c r="AW51" s="532"/>
      <c r="AX51" s="532"/>
      <c r="AY51" s="532"/>
    </row>
    <row r="52" spans="1:51" ht="12.75" x14ac:dyDescent="0.2">
      <c r="B52" s="592" t="s">
        <v>294</v>
      </c>
      <c r="C52" s="486" t="s">
        <v>518</v>
      </c>
      <c r="D52" s="235"/>
      <c r="E52" s="236" t="s">
        <v>313</v>
      </c>
      <c r="F52" s="154"/>
      <c r="G52" s="154"/>
      <c r="H52" s="154"/>
      <c r="I52" s="154"/>
      <c r="J52" s="154"/>
      <c r="K52" s="154"/>
      <c r="L52" s="154"/>
      <c r="M52" s="154"/>
      <c r="N52" s="154"/>
      <c r="O52" s="154"/>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row>
    <row r="53" spans="1:51" s="154" customFormat="1" ht="12.75" x14ac:dyDescent="0.2">
      <c r="A53" s="89"/>
      <c r="B53" s="592" t="s">
        <v>302</v>
      </c>
      <c r="C53" s="486" t="s">
        <v>518</v>
      </c>
      <c r="D53" s="235"/>
      <c r="E53" s="236" t="s">
        <v>314</v>
      </c>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row>
    <row r="54" spans="1:51" s="154" customFormat="1" ht="12.75" x14ac:dyDescent="0.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row>
    <row r="55" spans="1:51" s="532" customFormat="1" ht="12.75" x14ac:dyDescent="0.2"/>
    <row r="56" spans="1:51" s="532" customFormat="1" ht="12.75" x14ac:dyDescent="0.2"/>
    <row r="57" spans="1:51" s="532" customFormat="1" ht="12.75" x14ac:dyDescent="0.2"/>
    <row r="58" spans="1:51" s="154" customFormat="1" ht="12.75" x14ac:dyDescent="0.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row>
    <row r="59" spans="1:51" s="154" customFormat="1" ht="18" x14ac:dyDescent="0.25">
      <c r="B59" s="625" t="s">
        <v>521</v>
      </c>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c r="AM59" s="532"/>
      <c r="AN59" s="532"/>
      <c r="AO59" s="532"/>
      <c r="AP59" s="532"/>
      <c r="AQ59" s="532"/>
      <c r="AR59" s="532"/>
      <c r="AS59" s="532"/>
      <c r="AT59" s="532"/>
      <c r="AU59" s="532"/>
      <c r="AV59" s="532"/>
      <c r="AW59" s="532"/>
      <c r="AX59" s="532"/>
      <c r="AY59" s="532"/>
    </row>
    <row r="60" spans="1:51" s="121" customFormat="1" ht="12.75" x14ac:dyDescent="0.2">
      <c r="A60" s="154"/>
      <c r="B60" s="154"/>
      <c r="C60" s="154"/>
      <c r="D60" s="154"/>
      <c r="E60" s="154"/>
      <c r="F60" s="154"/>
      <c r="G60" s="154"/>
      <c r="H60" s="154"/>
      <c r="I60" s="154"/>
      <c r="J60" s="154"/>
      <c r="K60" s="154"/>
      <c r="L60" s="154"/>
      <c r="M60" s="154"/>
      <c r="N60" s="154"/>
      <c r="O60" s="154"/>
      <c r="P60" s="532"/>
      <c r="T60" s="532"/>
      <c r="U60" s="532"/>
      <c r="V60" s="532"/>
      <c r="W60" s="532"/>
      <c r="X60" s="532"/>
      <c r="Y60" s="532"/>
      <c r="Z60" s="532"/>
      <c r="AA60" s="532"/>
      <c r="AB60" s="532"/>
    </row>
    <row r="61" spans="1:51" s="121" customFormat="1" ht="15.75" x14ac:dyDescent="0.25">
      <c r="B61" s="489" t="s">
        <v>413</v>
      </c>
      <c r="C61" s="490"/>
      <c r="D61" s="490"/>
      <c r="E61" s="490"/>
      <c r="F61" s="490"/>
      <c r="G61" s="490"/>
      <c r="H61" s="490"/>
      <c r="I61" s="490"/>
      <c r="J61" s="490"/>
      <c r="K61" s="490"/>
      <c r="L61" s="624" t="s">
        <v>519</v>
      </c>
      <c r="M61" s="490"/>
      <c r="N61" s="490"/>
      <c r="O61" s="491" t="s">
        <v>324</v>
      </c>
      <c r="U61" s="532"/>
      <c r="V61" s="532"/>
      <c r="W61" s="532"/>
      <c r="X61" s="532"/>
      <c r="Y61" s="532"/>
      <c r="Z61" s="532"/>
      <c r="AA61" s="532"/>
      <c r="AB61" s="532"/>
    </row>
    <row r="62" spans="1:51" ht="15" customHeight="1" x14ac:dyDescent="0.25">
      <c r="B62" s="155"/>
      <c r="C62" s="455"/>
      <c r="D62" s="704" t="s">
        <v>173</v>
      </c>
      <c r="E62" s="705"/>
      <c r="F62" s="705"/>
      <c r="G62" s="706"/>
      <c r="H62" s="702" t="str">
        <f>$H$13</f>
        <v>Variable Costs</v>
      </c>
      <c r="I62" s="702">
        <f t="shared" ref="I62:N62" si="23">I13</f>
        <v>0</v>
      </c>
      <c r="J62" s="702">
        <f t="shared" si="23"/>
        <v>0</v>
      </c>
      <c r="K62" s="702">
        <f t="shared" si="23"/>
        <v>0</v>
      </c>
      <c r="L62" s="702">
        <f t="shared" si="23"/>
        <v>0</v>
      </c>
      <c r="M62" s="702">
        <f t="shared" si="23"/>
        <v>0</v>
      </c>
      <c r="N62" s="702">
        <f t="shared" si="23"/>
        <v>0</v>
      </c>
      <c r="O62" s="690" t="str">
        <f>$O$13</f>
        <v>Total Cost ($/Acre)</v>
      </c>
      <c r="P62" s="198" t="s">
        <v>417</v>
      </c>
      <c r="Q62" s="532"/>
      <c r="R62" s="532"/>
      <c r="S62" s="532"/>
      <c r="T62" s="121"/>
      <c r="U62" s="121"/>
      <c r="V62" s="121"/>
      <c r="W62" s="121"/>
      <c r="X62" s="121"/>
      <c r="Y62" s="121"/>
      <c r="Z62" s="121"/>
      <c r="AA62" s="121"/>
      <c r="AB62" s="121"/>
      <c r="AC62" s="532"/>
      <c r="AD62" s="532"/>
      <c r="AE62" s="532"/>
      <c r="AF62" s="532"/>
      <c r="AG62" s="532"/>
      <c r="AH62" s="532"/>
      <c r="AI62" s="532"/>
      <c r="AJ62" s="532"/>
      <c r="AK62" s="532"/>
      <c r="AL62" s="532"/>
      <c r="AM62" s="532"/>
      <c r="AN62" s="532"/>
      <c r="AO62" s="532"/>
      <c r="AP62" s="532"/>
      <c r="AQ62" s="532"/>
      <c r="AR62" s="532"/>
      <c r="AS62" s="532"/>
      <c r="AT62" s="532"/>
      <c r="AU62" s="532"/>
      <c r="AV62" s="532"/>
      <c r="AW62" s="532"/>
      <c r="AX62" s="532"/>
      <c r="AY62" s="532"/>
    </row>
    <row r="63" spans="1:51" ht="12.75" x14ac:dyDescent="0.2">
      <c r="B63" s="714" t="str">
        <f>$B$14</f>
        <v>Operation</v>
      </c>
      <c r="C63" s="456"/>
      <c r="D63" s="694" t="str">
        <f>$D$14</f>
        <v>Depreciation</v>
      </c>
      <c r="E63" s="694" t="str">
        <f>$E$14</f>
        <v>Interest</v>
      </c>
      <c r="F63" s="694" t="str">
        <f>$F$14</f>
        <v>Taxes, housing, insurance, licenses</v>
      </c>
      <c r="G63" s="690" t="str">
        <f>$G$14</f>
        <v>Total Fixed Costs</v>
      </c>
      <c r="H63" s="694" t="str">
        <f>$H$14</f>
        <v>Repairs</v>
      </c>
      <c r="I63" s="694" t="str">
        <f>$I$14</f>
        <v>Lube Cost</v>
      </c>
      <c r="J63" s="703" t="str">
        <f>$J$14</f>
        <v>Fuel</v>
      </c>
      <c r="K63" s="703">
        <f>K14</f>
        <v>0</v>
      </c>
      <c r="L63" s="703" t="str">
        <f>$L$14</f>
        <v>Labor</v>
      </c>
      <c r="M63" s="703">
        <f>M14</f>
        <v>0</v>
      </c>
      <c r="N63" s="690" t="str">
        <f>$N$14</f>
        <v>Total Variable Costs</v>
      </c>
      <c r="O63" s="713"/>
      <c r="P63" s="590" t="s">
        <v>459</v>
      </c>
      <c r="Q63" s="532"/>
      <c r="R63" s="532"/>
      <c r="S63" s="532"/>
      <c r="T63" s="532"/>
      <c r="U63" s="532"/>
      <c r="V63" s="532"/>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532"/>
      <c r="AY63" s="532"/>
    </row>
    <row r="64" spans="1:51" ht="39" customHeight="1" x14ac:dyDescent="0.2">
      <c r="B64" s="715">
        <f>B15</f>
        <v>0</v>
      </c>
      <c r="C64" s="452" t="s">
        <v>208</v>
      </c>
      <c r="D64" s="700"/>
      <c r="E64" s="700"/>
      <c r="F64" s="700"/>
      <c r="G64" s="713"/>
      <c r="H64" s="700">
        <f>H15</f>
        <v>0</v>
      </c>
      <c r="I64" s="700">
        <f>I15</f>
        <v>0</v>
      </c>
      <c r="J64" s="238" t="str">
        <f>$J$15</f>
        <v>Fuel Use gal/acre</v>
      </c>
      <c r="K64" s="238" t="str">
        <f>$K$15</f>
        <v>Fuel Cost</v>
      </c>
      <c r="L64" s="238" t="str">
        <f>$L$15</f>
        <v>Labor hrs/acre</v>
      </c>
      <c r="M64" s="238" t="str">
        <f>$M$15</f>
        <v>Labor Cost</v>
      </c>
      <c r="N64" s="691"/>
      <c r="O64" s="691"/>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c r="AM64" s="532"/>
      <c r="AN64" s="532"/>
      <c r="AO64" s="532"/>
      <c r="AP64" s="532"/>
      <c r="AQ64" s="532"/>
      <c r="AR64" s="532"/>
      <c r="AS64" s="532"/>
      <c r="AT64" s="532"/>
      <c r="AU64" s="532"/>
      <c r="AV64" s="532"/>
      <c r="AW64" s="532"/>
      <c r="AX64" s="532"/>
      <c r="AY64" s="532"/>
    </row>
    <row r="65" spans="1:51" ht="12.75" x14ac:dyDescent="0.2">
      <c r="B65" s="707" t="str">
        <f>$B$16</f>
        <v>Seasonal operations:</v>
      </c>
      <c r="C65" s="708"/>
      <c r="D65" s="708"/>
      <c r="E65" s="708"/>
      <c r="F65" s="708"/>
      <c r="G65" s="708"/>
      <c r="H65" s="708"/>
      <c r="I65" s="708"/>
      <c r="J65" s="708"/>
      <c r="K65" s="708"/>
      <c r="L65" s="708"/>
      <c r="M65" s="708"/>
      <c r="N65" s="708"/>
      <c r="O65" s="709"/>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c r="AM65" s="532"/>
      <c r="AN65" s="532"/>
      <c r="AO65" s="532"/>
      <c r="AP65" s="532"/>
      <c r="AQ65" s="532"/>
      <c r="AR65" s="532"/>
      <c r="AS65" s="532"/>
      <c r="AT65" s="532"/>
      <c r="AU65" s="532"/>
      <c r="AV65" s="532"/>
      <c r="AW65" s="532"/>
      <c r="AX65" s="532"/>
      <c r="AY65" s="532"/>
    </row>
    <row r="66" spans="1:51" ht="15" x14ac:dyDescent="0.25">
      <c r="A66" s="532"/>
      <c r="B66" s="164" t="str">
        <f>$B$17</f>
        <v>Self-propelled sprayer</v>
      </c>
      <c r="C66" s="459">
        <v>1</v>
      </c>
      <c r="D66" s="173">
        <f>$D$17*$C66</f>
        <v>1.82</v>
      </c>
      <c r="E66" s="173">
        <f>$E$17*$C66</f>
        <v>1.88</v>
      </c>
      <c r="F66" s="173">
        <f>$F$17*$C66</f>
        <v>0.93</v>
      </c>
      <c r="G66" s="464">
        <f>SUM(D66:F66)</f>
        <v>4.63</v>
      </c>
      <c r="H66" s="173">
        <f>$H$17*$C66</f>
        <v>0.44</v>
      </c>
      <c r="I66" s="173">
        <f>$I$17*$C66</f>
        <v>0.02</v>
      </c>
      <c r="J66" s="174">
        <f>$J$17*$C66</f>
        <v>0.04</v>
      </c>
      <c r="K66" s="173">
        <f>$K$17*$C66</f>
        <v>0.14000000000000001</v>
      </c>
      <c r="L66" s="174">
        <f>$L$17*$C66</f>
        <v>0.02</v>
      </c>
      <c r="M66" s="175">
        <f>$M$17*$C66</f>
        <v>0.4</v>
      </c>
      <c r="N66" s="239">
        <f t="shared" ref="N66:N71" si="24">SUM(H66,I66,K66,M66)</f>
        <v>1</v>
      </c>
      <c r="O66" s="176"/>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c r="AM66" s="532"/>
      <c r="AN66" s="532"/>
      <c r="AO66" s="532"/>
      <c r="AP66" s="532"/>
      <c r="AQ66" s="532"/>
      <c r="AR66" s="532"/>
      <c r="AS66" s="532"/>
      <c r="AT66" s="532"/>
      <c r="AU66" s="532"/>
      <c r="AV66" s="532"/>
      <c r="AW66" s="532"/>
      <c r="AX66" s="532"/>
      <c r="AY66" s="532"/>
    </row>
    <row r="67" spans="1:51" ht="15" x14ac:dyDescent="0.25">
      <c r="A67" s="532"/>
      <c r="B67" s="164" t="str">
        <f>$B$18</f>
        <v>300HP Tractor &amp; 90' sprayer</v>
      </c>
      <c r="C67" s="459">
        <v>0</v>
      </c>
      <c r="D67" s="173">
        <f>$D$18*$C67</f>
        <v>0</v>
      </c>
      <c r="E67" s="173">
        <f>$E$18*$C67</f>
        <v>0</v>
      </c>
      <c r="F67" s="173">
        <f>$F$18*$C67</f>
        <v>0</v>
      </c>
      <c r="G67" s="464">
        <f>SUM(D67:F67)</f>
        <v>0</v>
      </c>
      <c r="H67" s="173">
        <f>$H$18*$C67</f>
        <v>0</v>
      </c>
      <c r="I67" s="173">
        <f>$I$18*$C67</f>
        <v>0</v>
      </c>
      <c r="J67" s="174">
        <f>$J$18*$C67</f>
        <v>0</v>
      </c>
      <c r="K67" s="173">
        <f>$K$18*$C67</f>
        <v>0</v>
      </c>
      <c r="L67" s="174">
        <f>$L$18*$C67</f>
        <v>0</v>
      </c>
      <c r="M67" s="175">
        <f>$M$18*$C67</f>
        <v>0</v>
      </c>
      <c r="N67" s="239">
        <f t="shared" si="24"/>
        <v>0</v>
      </c>
      <c r="O67" s="176"/>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c r="AO67" s="532"/>
      <c r="AP67" s="532"/>
      <c r="AQ67" s="532"/>
      <c r="AR67" s="532"/>
      <c r="AS67" s="532"/>
      <c r="AT67" s="532"/>
      <c r="AU67" s="532"/>
      <c r="AV67" s="532"/>
      <c r="AW67" s="532"/>
      <c r="AX67" s="532"/>
      <c r="AY67" s="532"/>
    </row>
    <row r="68" spans="1:51" ht="15" x14ac:dyDescent="0.25">
      <c r="A68" s="532"/>
      <c r="B68" s="164" t="str">
        <f>$B$19</f>
        <v>300HP Tractor &amp; 48' rodweeder</v>
      </c>
      <c r="C68" s="459">
        <v>2</v>
      </c>
      <c r="D68" s="173">
        <f>$D$19*$C68</f>
        <v>3.36</v>
      </c>
      <c r="E68" s="173">
        <f>$E$19*$C68</f>
        <v>2.2200000000000002</v>
      </c>
      <c r="F68" s="173">
        <f>$F$19*$C68</f>
        <v>0.38</v>
      </c>
      <c r="G68" s="464">
        <f>SUM(D68:F68)</f>
        <v>5.96</v>
      </c>
      <c r="H68" s="173">
        <f>$H$19*$C68</f>
        <v>1.3</v>
      </c>
      <c r="I68" s="173">
        <f>$I$19*$C68</f>
        <v>0.74</v>
      </c>
      <c r="J68" s="174">
        <f>$J$19*$C68</f>
        <v>1.46</v>
      </c>
      <c r="K68" s="173">
        <f>$K$19*$C68</f>
        <v>4.96</v>
      </c>
      <c r="L68" s="174">
        <f>$L$19*$C68</f>
        <v>0.12</v>
      </c>
      <c r="M68" s="175">
        <f>$M$19*$C68</f>
        <v>2.4</v>
      </c>
      <c r="N68" s="239">
        <f t="shared" si="24"/>
        <v>9.4</v>
      </c>
      <c r="O68" s="176"/>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row>
    <row r="69" spans="1:51" ht="15" x14ac:dyDescent="0.25">
      <c r="B69" s="164" t="str">
        <f>$B$20</f>
        <v>300HP Tractor &amp; 26' shredder</v>
      </c>
      <c r="C69" s="459">
        <v>0</v>
      </c>
      <c r="D69" s="173">
        <f>$D$20*$C69</f>
        <v>0</v>
      </c>
      <c r="E69" s="173">
        <f>$E$20*$C69</f>
        <v>0</v>
      </c>
      <c r="F69" s="173">
        <f>$F$20*$C69</f>
        <v>0</v>
      </c>
      <c r="G69" s="464">
        <f>SUM(D69:F69)</f>
        <v>0</v>
      </c>
      <c r="H69" s="173">
        <f>$H$20*$C69</f>
        <v>0</v>
      </c>
      <c r="I69" s="173">
        <f>$I$20*$C69</f>
        <v>0</v>
      </c>
      <c r="J69" s="174">
        <f>$J$20*$C69</f>
        <v>0</v>
      </c>
      <c r="K69" s="173">
        <f>$K$20*$C69</f>
        <v>0</v>
      </c>
      <c r="L69" s="174">
        <f>$L$20*$C69</f>
        <v>0</v>
      </c>
      <c r="M69" s="175">
        <f>$M$20*$C69</f>
        <v>0</v>
      </c>
      <c r="N69" s="239">
        <f t="shared" si="24"/>
        <v>0</v>
      </c>
      <c r="O69" s="176"/>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532"/>
      <c r="AX69" s="532"/>
      <c r="AY69" s="532"/>
    </row>
    <row r="70" spans="1:51" ht="15" x14ac:dyDescent="0.25">
      <c r="B70" s="164" t="str">
        <f>$B$21</f>
        <v>300HP Tractor &amp; 34' tandem disk</v>
      </c>
      <c r="C70" s="459">
        <v>0</v>
      </c>
      <c r="D70" s="173">
        <f>$D$21*$C70</f>
        <v>0</v>
      </c>
      <c r="E70" s="173">
        <f>$E$21*$C70</f>
        <v>0</v>
      </c>
      <c r="F70" s="173">
        <f>$F$21*$C70</f>
        <v>0</v>
      </c>
      <c r="G70" s="464">
        <f t="shared" ref="G70:G78" si="25">SUM(D70:F70)</f>
        <v>0</v>
      </c>
      <c r="H70" s="173">
        <f>$H$21*$C70</f>
        <v>0</v>
      </c>
      <c r="I70" s="173">
        <f>$I$21*$C70</f>
        <v>0</v>
      </c>
      <c r="J70" s="174">
        <f>$J$21*$C70</f>
        <v>0</v>
      </c>
      <c r="K70" s="173">
        <f>$K$21*$C70</f>
        <v>0</v>
      </c>
      <c r="L70" s="174">
        <f>$L$21*$C70</f>
        <v>0</v>
      </c>
      <c r="M70" s="175">
        <f>$M$21*$C70</f>
        <v>0</v>
      </c>
      <c r="N70" s="239">
        <f t="shared" si="24"/>
        <v>0</v>
      </c>
      <c r="O70" s="176"/>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row>
    <row r="71" spans="1:51" ht="15" x14ac:dyDescent="0.25">
      <c r="A71" s="532"/>
      <c r="B71" s="164" t="str">
        <f>$B$22</f>
        <v>300HP Tractor &amp; 36' cultiweeder</v>
      </c>
      <c r="C71" s="459">
        <v>1</v>
      </c>
      <c r="D71" s="173">
        <f>$D$22*$C71</f>
        <v>1.42</v>
      </c>
      <c r="E71" s="173">
        <f>$E$22*$C71</f>
        <v>0.92</v>
      </c>
      <c r="F71" s="173">
        <f>$F$22*$C71</f>
        <v>0.15</v>
      </c>
      <c r="G71" s="464">
        <f>SUM(D71:F71)</f>
        <v>2.4899999999999998</v>
      </c>
      <c r="H71" s="173">
        <f>$H$22*$C71</f>
        <v>0.41</v>
      </c>
      <c r="I71" s="173">
        <f>$I$22*$C71</f>
        <v>0.28000000000000003</v>
      </c>
      <c r="J71" s="174">
        <f>$J$22*$C71</f>
        <v>0.55000000000000004</v>
      </c>
      <c r="K71" s="173">
        <f>$K$22*$C71</f>
        <v>1.87</v>
      </c>
      <c r="L71" s="174">
        <f>$L$22*$C71</f>
        <v>0.04</v>
      </c>
      <c r="M71" s="175">
        <f>$M$22*$C71</f>
        <v>0.8</v>
      </c>
      <c r="N71" s="239">
        <f t="shared" si="24"/>
        <v>3.3600000000000003</v>
      </c>
      <c r="O71" s="176"/>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X71" s="532"/>
      <c r="AY71" s="532"/>
    </row>
    <row r="72" spans="1:51" ht="15" x14ac:dyDescent="0.25">
      <c r="B72" s="156" t="str">
        <f>$B$23</f>
        <v>300HP Tractor &amp; 35' chisel plow</v>
      </c>
      <c r="C72" s="459">
        <v>1</v>
      </c>
      <c r="D72" s="173">
        <f>$D$23*$C72</f>
        <v>2.17</v>
      </c>
      <c r="E72" s="173">
        <f>$E$23*$C72</f>
        <v>1.41</v>
      </c>
      <c r="F72" s="173">
        <f>$F$23*$C72</f>
        <v>0.24</v>
      </c>
      <c r="G72" s="464">
        <f t="shared" si="25"/>
        <v>3.8200000000000003</v>
      </c>
      <c r="H72" s="173">
        <f>$H$23*$C72</f>
        <v>0.79</v>
      </c>
      <c r="I72" s="173">
        <f>$I$23*$C72</f>
        <v>0.48</v>
      </c>
      <c r="J72" s="174">
        <f>$J$23*$C72</f>
        <v>0.95</v>
      </c>
      <c r="K72" s="173">
        <f>$K$23*$C72</f>
        <v>3.23</v>
      </c>
      <c r="L72" s="174">
        <f>$L$23*$C72</f>
        <v>0.08</v>
      </c>
      <c r="M72" s="175">
        <f>$M$23*$C72</f>
        <v>1.6</v>
      </c>
      <c r="N72" s="239">
        <f t="shared" ref="N72:N78" si="26">SUM(H72,I72,K72,M72)</f>
        <v>6.1</v>
      </c>
      <c r="O72" s="176"/>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c r="AM72" s="532"/>
      <c r="AN72" s="532"/>
      <c r="AO72" s="532"/>
      <c r="AP72" s="532"/>
      <c r="AQ72" s="532"/>
      <c r="AR72" s="532"/>
      <c r="AS72" s="532"/>
      <c r="AT72" s="532"/>
      <c r="AU72" s="532"/>
      <c r="AV72" s="532"/>
      <c r="AW72" s="532"/>
      <c r="AX72" s="532"/>
      <c r="AY72" s="532"/>
    </row>
    <row r="73" spans="1:51" ht="15" x14ac:dyDescent="0.25">
      <c r="B73" s="156" t="str">
        <f>$B$24</f>
        <v>300HP Tractor &amp; 36' cultivator</v>
      </c>
      <c r="C73" s="459">
        <v>0</v>
      </c>
      <c r="D73" s="173">
        <f>$D$24*$C73</f>
        <v>0</v>
      </c>
      <c r="E73" s="173">
        <f>$E$24*$C73</f>
        <v>0</v>
      </c>
      <c r="F73" s="173">
        <f>$F$24*$C73</f>
        <v>0</v>
      </c>
      <c r="G73" s="464">
        <f t="shared" si="25"/>
        <v>0</v>
      </c>
      <c r="H73" s="173">
        <f>$H$24*$C73</f>
        <v>0</v>
      </c>
      <c r="I73" s="173">
        <f>$I$24*$C73</f>
        <v>0</v>
      </c>
      <c r="J73" s="174">
        <f>$J$24*$C73</f>
        <v>0</v>
      </c>
      <c r="K73" s="173">
        <f>$K$24*$C73</f>
        <v>0</v>
      </c>
      <c r="L73" s="174">
        <f>$L$24*$C73</f>
        <v>0</v>
      </c>
      <c r="M73" s="175">
        <f>$M$24*$C73</f>
        <v>0</v>
      </c>
      <c r="N73" s="239">
        <f>SUM(H73,I73,K73,M73)</f>
        <v>0</v>
      </c>
      <c r="O73" s="176"/>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c r="AM73" s="532"/>
      <c r="AN73" s="532"/>
      <c r="AO73" s="532"/>
      <c r="AP73" s="532"/>
      <c r="AQ73" s="532"/>
      <c r="AR73" s="532"/>
      <c r="AS73" s="532"/>
      <c r="AT73" s="532"/>
      <c r="AU73" s="532"/>
      <c r="AV73" s="532"/>
      <c r="AW73" s="532"/>
      <c r="AX73" s="532"/>
      <c r="AY73" s="532"/>
    </row>
    <row r="74" spans="1:51" ht="15" x14ac:dyDescent="0.25">
      <c r="B74" s="156" t="str">
        <f>$B$25</f>
        <v>300HP Tractor &amp; 48' spring tooth harrow</v>
      </c>
      <c r="C74" s="459">
        <v>0</v>
      </c>
      <c r="D74" s="173">
        <f>$D$25*$C74</f>
        <v>0</v>
      </c>
      <c r="E74" s="173">
        <f>$E$25*$C74</f>
        <v>0</v>
      </c>
      <c r="F74" s="173">
        <f>$F$25*$C74</f>
        <v>0</v>
      </c>
      <c r="G74" s="464">
        <f>SUM(D74:F74)</f>
        <v>0</v>
      </c>
      <c r="H74" s="173">
        <f>$H$25*$C74</f>
        <v>0</v>
      </c>
      <c r="I74" s="173">
        <f>$I$25*$C74</f>
        <v>0</v>
      </c>
      <c r="J74" s="174">
        <f>$J$25*$C74</f>
        <v>0</v>
      </c>
      <c r="K74" s="173">
        <f>$K$25*$C74</f>
        <v>0</v>
      </c>
      <c r="L74" s="174">
        <f>$L$25*$C74</f>
        <v>0</v>
      </c>
      <c r="M74" s="175">
        <f>$M$25*$C74</f>
        <v>0</v>
      </c>
      <c r="N74" s="239">
        <f>SUM(H74,I74,K74,M74)</f>
        <v>0</v>
      </c>
      <c r="O74" s="176"/>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row>
    <row r="75" spans="1:51" ht="15" x14ac:dyDescent="0.25">
      <c r="B75" s="156" t="str">
        <f>$B$26</f>
        <v>300HP Tractor &amp; 36' grain drill</v>
      </c>
      <c r="C75" s="459">
        <v>0</v>
      </c>
      <c r="D75" s="173">
        <f>$D$26*$C75</f>
        <v>0</v>
      </c>
      <c r="E75" s="173">
        <f>$E$26*$C75</f>
        <v>0</v>
      </c>
      <c r="F75" s="173">
        <f>$F$26*$C75</f>
        <v>0</v>
      </c>
      <c r="G75" s="464">
        <f t="shared" si="25"/>
        <v>0</v>
      </c>
      <c r="H75" s="173">
        <f>$H$26*$C75</f>
        <v>0</v>
      </c>
      <c r="I75" s="173">
        <f>$I$26*$C75</f>
        <v>0</v>
      </c>
      <c r="J75" s="174">
        <f>$J$26*$C75</f>
        <v>0</v>
      </c>
      <c r="K75" s="173">
        <f>$K$26*$C75</f>
        <v>0</v>
      </c>
      <c r="L75" s="174">
        <f>$L$26*$C75</f>
        <v>0</v>
      </c>
      <c r="M75" s="175">
        <f>$M$26*$C75</f>
        <v>0</v>
      </c>
      <c r="N75" s="239">
        <f t="shared" si="26"/>
        <v>0</v>
      </c>
      <c r="O75" s="176"/>
      <c r="P75" s="533"/>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row>
    <row r="76" spans="1:51" ht="15" x14ac:dyDescent="0.25">
      <c r="B76" s="168" t="str">
        <f>$B$27</f>
        <v>Combine &amp; 30' header  *4 mph harvest speed*</v>
      </c>
      <c r="C76" s="459">
        <v>0</v>
      </c>
      <c r="D76" s="173">
        <f>$D$27*$C76</f>
        <v>0</v>
      </c>
      <c r="E76" s="173">
        <f>$E$27*$C76</f>
        <v>0</v>
      </c>
      <c r="F76" s="173">
        <f>$F$27*$C76</f>
        <v>0</v>
      </c>
      <c r="G76" s="464">
        <f t="shared" si="25"/>
        <v>0</v>
      </c>
      <c r="H76" s="173">
        <f>$H$27*$C76</f>
        <v>0</v>
      </c>
      <c r="I76" s="173">
        <f>$I$27*$C76</f>
        <v>0</v>
      </c>
      <c r="J76" s="174">
        <f>$J$27*$C76</f>
        <v>0</v>
      </c>
      <c r="K76" s="173">
        <f>$K$27*$C76</f>
        <v>0</v>
      </c>
      <c r="L76" s="174">
        <f>$L$27*$C76</f>
        <v>0</v>
      </c>
      <c r="M76" s="175">
        <f>$M$27*$C76</f>
        <v>0</v>
      </c>
      <c r="N76" s="239">
        <f t="shared" si="26"/>
        <v>0</v>
      </c>
      <c r="O76" s="176"/>
      <c r="P76" s="533"/>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row>
    <row r="77" spans="1:51" ht="15" x14ac:dyDescent="0.25">
      <c r="A77" s="532"/>
      <c r="B77" s="168" t="str">
        <f>$B$28</f>
        <v>Combine &amp; 30' header *3 mph harvest speed*</v>
      </c>
      <c r="C77" s="459">
        <v>0</v>
      </c>
      <c r="D77" s="173">
        <f>$D$28*$C77</f>
        <v>0</v>
      </c>
      <c r="E77" s="173">
        <f>$E$28*$C77</f>
        <v>0</v>
      </c>
      <c r="F77" s="173">
        <f>$F$28*$C77</f>
        <v>0</v>
      </c>
      <c r="G77" s="464">
        <f>SUM(D77:F77)</f>
        <v>0</v>
      </c>
      <c r="H77" s="173">
        <f>$H$28*$C77</f>
        <v>0</v>
      </c>
      <c r="I77" s="173">
        <f>$I$28*$C77</f>
        <v>0</v>
      </c>
      <c r="J77" s="174">
        <f>$J$28*$C77</f>
        <v>0</v>
      </c>
      <c r="K77" s="173">
        <f>$K$28*$C77</f>
        <v>0</v>
      </c>
      <c r="L77" s="174">
        <f>$L$28*$C77</f>
        <v>0</v>
      </c>
      <c r="M77" s="175">
        <f>$M$28*$C77</f>
        <v>0</v>
      </c>
      <c r="N77" s="239">
        <f>SUM(H77,I77,K77,M77)</f>
        <v>0</v>
      </c>
      <c r="O77" s="176"/>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c r="AM77" s="532"/>
      <c r="AN77" s="532"/>
      <c r="AO77" s="532"/>
      <c r="AP77" s="532"/>
      <c r="AQ77" s="532"/>
      <c r="AR77" s="532"/>
      <c r="AS77" s="532"/>
      <c r="AT77" s="532"/>
      <c r="AU77" s="532"/>
      <c r="AV77" s="532"/>
      <c r="AW77" s="532"/>
      <c r="AX77" s="532"/>
      <c r="AY77" s="532"/>
    </row>
    <row r="78" spans="1:51" ht="15" customHeight="1" x14ac:dyDescent="0.25">
      <c r="B78" s="168" t="str">
        <f>$B$29</f>
        <v>300HP Tractor &amp; Bankout wagon</v>
      </c>
      <c r="C78" s="459">
        <v>0</v>
      </c>
      <c r="D78" s="173">
        <f>$D$29*$C78</f>
        <v>0</v>
      </c>
      <c r="E78" s="173">
        <f>$E$29*$C78</f>
        <v>0</v>
      </c>
      <c r="F78" s="173">
        <f>$F$29*$C78</f>
        <v>0</v>
      </c>
      <c r="G78" s="464">
        <f t="shared" si="25"/>
        <v>0</v>
      </c>
      <c r="H78" s="173">
        <f>$H$29*$C78</f>
        <v>0</v>
      </c>
      <c r="I78" s="173">
        <f>$I$29*$C78</f>
        <v>0</v>
      </c>
      <c r="J78" s="174">
        <f>$J$29*$C78</f>
        <v>0</v>
      </c>
      <c r="K78" s="173">
        <f>$K$29*$C78</f>
        <v>0</v>
      </c>
      <c r="L78" s="174">
        <f>$L$29*$C78</f>
        <v>0</v>
      </c>
      <c r="M78" s="175">
        <f>$M$29*$C78</f>
        <v>0</v>
      </c>
      <c r="N78" s="239">
        <f t="shared" si="26"/>
        <v>0</v>
      </c>
      <c r="O78" s="176"/>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c r="AM78" s="532"/>
      <c r="AN78" s="532"/>
      <c r="AO78" s="532"/>
      <c r="AP78" s="532"/>
      <c r="AQ78" s="532"/>
      <c r="AR78" s="532"/>
      <c r="AS78" s="532"/>
      <c r="AT78" s="532"/>
      <c r="AU78" s="532"/>
      <c r="AV78" s="532"/>
      <c r="AW78" s="532"/>
      <c r="AX78" s="532"/>
      <c r="AY78" s="532"/>
    </row>
    <row r="79" spans="1:51" ht="12.75" x14ac:dyDescent="0.2">
      <c r="B79" s="710" t="str">
        <f>$B$30</f>
        <v>Annual Costs:</v>
      </c>
      <c r="C79" s="711"/>
      <c r="D79" s="711"/>
      <c r="E79" s="711"/>
      <c r="F79" s="711"/>
      <c r="G79" s="711"/>
      <c r="H79" s="711"/>
      <c r="I79" s="711"/>
      <c r="J79" s="711"/>
      <c r="K79" s="711"/>
      <c r="L79" s="711"/>
      <c r="M79" s="711"/>
      <c r="N79" s="711"/>
      <c r="O79" s="71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row>
    <row r="80" spans="1:51" ht="15" x14ac:dyDescent="0.25">
      <c r="B80" s="698" t="str">
        <f>$B$31</f>
        <v>Tandem axle truck</v>
      </c>
      <c r="C80" s="699"/>
      <c r="D80" s="274">
        <f>$D$31</f>
        <v>0.39</v>
      </c>
      <c r="E80" s="274">
        <f>$E$31</f>
        <v>0.44</v>
      </c>
      <c r="F80" s="274">
        <f>$F$31</f>
        <v>0.72</v>
      </c>
      <c r="G80" s="466">
        <f>$G$31</f>
        <v>1.55</v>
      </c>
      <c r="H80" s="274">
        <f>$H$31</f>
        <v>0.56999999999999995</v>
      </c>
      <c r="I80" s="274">
        <f>$I$31</f>
        <v>0.04</v>
      </c>
      <c r="J80" s="275">
        <f>$J$31</f>
        <v>7.0000000000000007E-2</v>
      </c>
      <c r="K80" s="274">
        <f>$K$31</f>
        <v>0.24</v>
      </c>
      <c r="L80" s="275">
        <f>$L$31</f>
        <v>0.03</v>
      </c>
      <c r="M80" s="266">
        <f>$M$31</f>
        <v>0.51</v>
      </c>
      <c r="N80" s="276">
        <f t="shared" ref="N80:N85" si="27">SUM(H80,I80,K80,M80)</f>
        <v>1.3599999999999999</v>
      </c>
      <c r="O80" s="277"/>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c r="AM80" s="532"/>
      <c r="AN80" s="532"/>
      <c r="AO80" s="532"/>
      <c r="AP80" s="532"/>
      <c r="AQ80" s="532"/>
      <c r="AR80" s="532"/>
      <c r="AS80" s="532"/>
      <c r="AT80" s="532"/>
      <c r="AU80" s="532"/>
      <c r="AV80" s="532"/>
      <c r="AW80" s="532"/>
      <c r="AX80" s="532"/>
      <c r="AY80" s="532"/>
    </row>
    <row r="81" spans="1:51" ht="15" x14ac:dyDescent="0.25">
      <c r="B81" s="698" t="str">
        <f>$B$32</f>
        <v>Tandem axle truck</v>
      </c>
      <c r="C81" s="699"/>
      <c r="D81" s="274">
        <f>$D$32</f>
        <v>0.39</v>
      </c>
      <c r="E81" s="274">
        <f>$E$32</f>
        <v>0.44</v>
      </c>
      <c r="F81" s="274">
        <f>$F$32</f>
        <v>0.72</v>
      </c>
      <c r="G81" s="466">
        <f>$G$32</f>
        <v>1.55</v>
      </c>
      <c r="H81" s="274">
        <f>$H$32</f>
        <v>0.56999999999999995</v>
      </c>
      <c r="I81" s="274">
        <f>$I$32</f>
        <v>0.04</v>
      </c>
      <c r="J81" s="275">
        <f>$J$32</f>
        <v>7.0000000000000007E-2</v>
      </c>
      <c r="K81" s="274">
        <f>$K$32</f>
        <v>0.24</v>
      </c>
      <c r="L81" s="275">
        <f>$L$32</f>
        <v>0.03</v>
      </c>
      <c r="M81" s="266">
        <f>$M$32</f>
        <v>0.51</v>
      </c>
      <c r="N81" s="276">
        <f t="shared" si="27"/>
        <v>1.3599999999999999</v>
      </c>
      <c r="O81" s="277"/>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c r="AM81" s="532"/>
      <c r="AN81" s="532"/>
      <c r="AO81" s="532"/>
      <c r="AP81" s="532"/>
      <c r="AQ81" s="532"/>
      <c r="AR81" s="532"/>
      <c r="AS81" s="532"/>
      <c r="AT81" s="532"/>
      <c r="AU81" s="532"/>
      <c r="AV81" s="532"/>
      <c r="AW81" s="532"/>
      <c r="AX81" s="532"/>
      <c r="AY81" s="532"/>
    </row>
    <row r="82" spans="1:51" ht="15" x14ac:dyDescent="0.25">
      <c r="B82" s="698" t="str">
        <f>$B$33</f>
        <v>2-ton truck</v>
      </c>
      <c r="C82" s="699"/>
      <c r="D82" s="274">
        <f>$D$33</f>
        <v>0.32</v>
      </c>
      <c r="E82" s="274">
        <f>$E$33</f>
        <v>0.26</v>
      </c>
      <c r="F82" s="274">
        <f>$F$33</f>
        <v>0.42</v>
      </c>
      <c r="G82" s="466">
        <f>$G$33</f>
        <v>1</v>
      </c>
      <c r="H82" s="274">
        <f>$H$33</f>
        <v>0.28999999999999998</v>
      </c>
      <c r="I82" s="274">
        <f>$I$33</f>
        <v>0.03</v>
      </c>
      <c r="J82" s="275">
        <f>$J$33</f>
        <v>0.05</v>
      </c>
      <c r="K82" s="274">
        <f>$K$33</f>
        <v>0.17</v>
      </c>
      <c r="L82" s="275">
        <f>$L$33</f>
        <v>0.02</v>
      </c>
      <c r="M82" s="266">
        <f>$M$33</f>
        <v>0.34</v>
      </c>
      <c r="N82" s="276">
        <f t="shared" si="27"/>
        <v>0.83000000000000007</v>
      </c>
      <c r="O82" s="277"/>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2"/>
      <c r="AY82" s="532"/>
    </row>
    <row r="83" spans="1:51" ht="15" x14ac:dyDescent="0.25">
      <c r="B83" s="698" t="str">
        <f>$B$34</f>
        <v>Trap wagon</v>
      </c>
      <c r="C83" s="699"/>
      <c r="D83" s="274">
        <f>$D$34</f>
        <v>0.35</v>
      </c>
      <c r="E83" s="274">
        <f>$E$34</f>
        <v>0.16</v>
      </c>
      <c r="F83" s="274">
        <f>$F$34</f>
        <v>0.26</v>
      </c>
      <c r="G83" s="466">
        <f>$G$34</f>
        <v>0.77</v>
      </c>
      <c r="H83" s="274">
        <f>$H$34</f>
        <v>0.12</v>
      </c>
      <c r="I83" s="274">
        <f>$I$34</f>
        <v>0.03</v>
      </c>
      <c r="J83" s="275">
        <f>$J$34</f>
        <v>0.05</v>
      </c>
      <c r="K83" s="274">
        <f>$K$34</f>
        <v>0.17</v>
      </c>
      <c r="L83" s="275">
        <f>$L$34</f>
        <v>0.02</v>
      </c>
      <c r="M83" s="266">
        <f>$M$34</f>
        <v>0.34</v>
      </c>
      <c r="N83" s="276">
        <f t="shared" si="27"/>
        <v>0.66</v>
      </c>
      <c r="O83" s="277"/>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2"/>
    </row>
    <row r="84" spans="1:51" ht="15" x14ac:dyDescent="0.25">
      <c r="B84" s="698" t="str">
        <f>$B$35</f>
        <v>3/4-ton pick-up</v>
      </c>
      <c r="C84" s="699"/>
      <c r="D84" s="274">
        <f>$D$35</f>
        <v>0.6</v>
      </c>
      <c r="E84" s="274">
        <f>$E$35</f>
        <v>0.42</v>
      </c>
      <c r="F84" s="274">
        <f>$F$35</f>
        <v>0.45</v>
      </c>
      <c r="G84" s="466">
        <f>$G$35</f>
        <v>1.47</v>
      </c>
      <c r="H84" s="274">
        <f>$H$35</f>
        <v>0.17</v>
      </c>
      <c r="I84" s="274">
        <f>$I$35</f>
        <v>0.02</v>
      </c>
      <c r="J84" s="275">
        <f>$J$35</f>
        <v>0.03</v>
      </c>
      <c r="K84" s="274">
        <f>$K$35</f>
        <v>0.11</v>
      </c>
      <c r="L84" s="275">
        <f>$L$35</f>
        <v>0.01</v>
      </c>
      <c r="M84" s="266">
        <f>$M$35</f>
        <v>0.17</v>
      </c>
      <c r="N84" s="276">
        <f t="shared" si="27"/>
        <v>0.47</v>
      </c>
      <c r="O84" s="277"/>
      <c r="P84" s="532"/>
      <c r="Q84" s="532"/>
      <c r="R84" s="532"/>
      <c r="S84" s="532"/>
      <c r="T84" s="532"/>
      <c r="U84" s="532"/>
      <c r="V84" s="532"/>
      <c r="W84" s="532"/>
      <c r="X84" s="532"/>
      <c r="Y84" s="532"/>
      <c r="Z84" s="532"/>
      <c r="AA84" s="532"/>
      <c r="AB84" s="532"/>
      <c r="AC84" s="532"/>
      <c r="AD84" s="532"/>
      <c r="AE84" s="532"/>
      <c r="AF84" s="532"/>
      <c r="AG84" s="532"/>
      <c r="AH84" s="532"/>
      <c r="AI84" s="532"/>
      <c r="AJ84" s="532"/>
      <c r="AK84" s="532"/>
      <c r="AL84" s="532"/>
      <c r="AM84" s="532"/>
      <c r="AN84" s="532"/>
      <c r="AO84" s="532"/>
      <c r="AP84" s="532"/>
      <c r="AQ84" s="532"/>
      <c r="AR84" s="532"/>
      <c r="AS84" s="532"/>
      <c r="AT84" s="532"/>
      <c r="AU84" s="532"/>
      <c r="AV84" s="532"/>
      <c r="AW84" s="532"/>
      <c r="AX84" s="532"/>
      <c r="AY84" s="532"/>
    </row>
    <row r="85" spans="1:51" ht="15" x14ac:dyDescent="0.25">
      <c r="B85" s="698" t="str">
        <f>$B$36</f>
        <v>ATV</v>
      </c>
      <c r="C85" s="699"/>
      <c r="D85" s="274">
        <f>$D$36</f>
        <v>0.25</v>
      </c>
      <c r="E85" s="274">
        <f>$E$36</f>
        <v>0.14000000000000001</v>
      </c>
      <c r="F85" s="274">
        <f>$F$36</f>
        <v>0.03</v>
      </c>
      <c r="G85" s="466">
        <f>$G$36</f>
        <v>0.42000000000000004</v>
      </c>
      <c r="H85" s="274">
        <f>$H$36</f>
        <v>0.05</v>
      </c>
      <c r="I85" s="274">
        <f>$I$36</f>
        <v>0.06</v>
      </c>
      <c r="J85" s="275">
        <f>$J$36</f>
        <v>0.12</v>
      </c>
      <c r="K85" s="274">
        <f>$K$36</f>
        <v>0.42</v>
      </c>
      <c r="L85" s="275">
        <f>$L$36</f>
        <v>0.11</v>
      </c>
      <c r="M85" s="266">
        <f>$M$36</f>
        <v>1.87</v>
      </c>
      <c r="N85" s="276">
        <f t="shared" si="27"/>
        <v>2.4000000000000004</v>
      </c>
      <c r="O85" s="277"/>
      <c r="P85" s="532"/>
      <c r="Q85" s="532"/>
      <c r="R85" s="532"/>
      <c r="S85" s="532"/>
      <c r="T85" s="532"/>
      <c r="U85" s="532"/>
      <c r="V85" s="532"/>
      <c r="W85" s="532"/>
      <c r="X85" s="532"/>
      <c r="Y85" s="532"/>
      <c r="Z85" s="532"/>
      <c r="AA85" s="532"/>
      <c r="AB85" s="532"/>
      <c r="AC85" s="532"/>
      <c r="AD85" s="532"/>
      <c r="AE85" s="532"/>
      <c r="AF85" s="532"/>
      <c r="AG85" s="532"/>
      <c r="AH85" s="532"/>
      <c r="AI85" s="532"/>
      <c r="AJ85" s="532"/>
      <c r="AK85" s="532"/>
      <c r="AL85" s="532"/>
      <c r="AM85" s="532"/>
      <c r="AN85" s="532"/>
      <c r="AO85" s="532"/>
      <c r="AP85" s="532"/>
      <c r="AQ85" s="532"/>
      <c r="AR85" s="532"/>
      <c r="AS85" s="532"/>
      <c r="AT85" s="532"/>
      <c r="AU85" s="532"/>
      <c r="AV85" s="532"/>
      <c r="AW85" s="532"/>
      <c r="AX85" s="532"/>
      <c r="AY85" s="532"/>
    </row>
    <row r="86" spans="1:51" s="154" customFormat="1" ht="13.5" thickBot="1" x14ac:dyDescent="0.25">
      <c r="B86" s="692" t="str">
        <f>$B$37</f>
        <v>Cost $/Acre</v>
      </c>
      <c r="C86" s="693"/>
      <c r="D86" s="237">
        <f t="shared" ref="D86:N86" si="28">SUM(D66:D85)</f>
        <v>11.07</v>
      </c>
      <c r="E86" s="237">
        <f t="shared" si="28"/>
        <v>8.2900000000000009</v>
      </c>
      <c r="F86" s="237">
        <f t="shared" si="28"/>
        <v>4.3</v>
      </c>
      <c r="G86" s="237">
        <f t="shared" si="28"/>
        <v>23.66</v>
      </c>
      <c r="H86" s="237">
        <f t="shared" si="28"/>
        <v>4.71</v>
      </c>
      <c r="I86" s="237">
        <f t="shared" si="28"/>
        <v>1.7400000000000002</v>
      </c>
      <c r="J86" s="159">
        <f t="shared" si="28"/>
        <v>3.3899999999999992</v>
      </c>
      <c r="K86" s="237">
        <f t="shared" si="28"/>
        <v>11.549999999999999</v>
      </c>
      <c r="L86" s="159">
        <f t="shared" si="28"/>
        <v>0.48000000000000009</v>
      </c>
      <c r="M86" s="237">
        <f t="shared" si="28"/>
        <v>8.9399999999999977</v>
      </c>
      <c r="N86" s="237">
        <f t="shared" si="28"/>
        <v>26.939999999999998</v>
      </c>
      <c r="O86" s="157">
        <f>SUM(G86,N86)</f>
        <v>50.599999999999994</v>
      </c>
      <c r="P86" s="532"/>
      <c r="Q86" s="532"/>
      <c r="R86" s="532"/>
      <c r="S86" s="532"/>
      <c r="T86" s="532"/>
      <c r="U86" s="532"/>
      <c r="V86" s="532"/>
      <c r="W86" s="532"/>
      <c r="X86" s="532"/>
      <c r="Y86" s="532"/>
      <c r="Z86" s="532"/>
      <c r="AA86" s="532"/>
      <c r="AB86" s="532"/>
      <c r="AC86" s="532"/>
      <c r="AD86" s="532"/>
      <c r="AE86" s="532"/>
      <c r="AF86" s="532"/>
      <c r="AG86" s="532"/>
      <c r="AH86" s="532"/>
      <c r="AI86" s="532"/>
      <c r="AJ86" s="532"/>
      <c r="AK86" s="532"/>
      <c r="AL86" s="532"/>
      <c r="AM86" s="532"/>
      <c r="AN86" s="532"/>
      <c r="AO86" s="532"/>
      <c r="AP86" s="532"/>
      <c r="AQ86" s="532"/>
      <c r="AR86" s="532"/>
      <c r="AS86" s="532"/>
      <c r="AT86" s="532"/>
      <c r="AU86" s="532"/>
      <c r="AV86" s="532"/>
      <c r="AW86" s="532"/>
      <c r="AX86" s="532"/>
      <c r="AY86" s="532"/>
    </row>
    <row r="87" spans="1:51" s="154" customFormat="1" ht="12.75" x14ac:dyDescent="0.2">
      <c r="B87" s="572"/>
      <c r="P87" s="532"/>
      <c r="Q87" s="532"/>
      <c r="R87" s="532"/>
      <c r="S87" s="532"/>
      <c r="T87" s="532"/>
      <c r="U87" s="532"/>
      <c r="V87" s="532"/>
      <c r="W87" s="532"/>
      <c r="X87" s="532"/>
      <c r="Y87" s="532"/>
      <c r="Z87" s="532"/>
      <c r="AA87" s="532"/>
      <c r="AB87" s="532"/>
      <c r="AC87" s="532"/>
      <c r="AD87" s="532"/>
      <c r="AE87" s="532"/>
      <c r="AF87" s="532"/>
      <c r="AG87" s="532"/>
      <c r="AH87" s="532"/>
      <c r="AI87" s="532"/>
      <c r="AJ87" s="532"/>
      <c r="AK87" s="532"/>
      <c r="AL87" s="532"/>
      <c r="AM87" s="532"/>
      <c r="AN87" s="532"/>
      <c r="AO87" s="532"/>
      <c r="AP87" s="532"/>
      <c r="AQ87" s="532"/>
      <c r="AR87" s="532"/>
      <c r="AS87" s="532"/>
      <c r="AT87" s="532"/>
      <c r="AU87" s="532"/>
      <c r="AV87" s="532"/>
      <c r="AW87" s="532"/>
      <c r="AX87" s="532"/>
      <c r="AY87" s="532"/>
    </row>
    <row r="88" spans="1:51" s="121" customFormat="1" ht="12.75" x14ac:dyDescent="0.2">
      <c r="A88" s="154"/>
      <c r="B88" s="154"/>
      <c r="C88" s="154"/>
      <c r="D88" s="154"/>
      <c r="E88" s="154"/>
      <c r="F88" s="154"/>
      <c r="G88" s="154"/>
      <c r="H88" s="154"/>
      <c r="I88" s="154"/>
      <c r="J88" s="154"/>
      <c r="K88" s="154"/>
      <c r="L88" s="154"/>
      <c r="M88" s="154"/>
      <c r="N88" s="154"/>
      <c r="O88" s="154"/>
      <c r="T88" s="532"/>
      <c r="U88" s="532"/>
      <c r="V88" s="532"/>
      <c r="W88" s="532"/>
      <c r="X88" s="532"/>
      <c r="Y88" s="532"/>
      <c r="Z88" s="532"/>
      <c r="AA88" s="532"/>
      <c r="AB88" s="532"/>
    </row>
    <row r="89" spans="1:51" ht="15" customHeight="1" x14ac:dyDescent="0.25">
      <c r="A89" s="121"/>
      <c r="B89" s="492" t="s">
        <v>315</v>
      </c>
      <c r="C89" s="493"/>
      <c r="D89" s="493"/>
      <c r="E89" s="493"/>
      <c r="F89" s="493"/>
      <c r="G89" s="493"/>
      <c r="H89" s="493"/>
      <c r="I89" s="493"/>
      <c r="J89" s="493"/>
      <c r="K89" s="493"/>
      <c r="L89" s="623" t="s">
        <v>519</v>
      </c>
      <c r="N89" s="493"/>
      <c r="O89" s="494" t="s">
        <v>520</v>
      </c>
      <c r="P89" s="198"/>
      <c r="Q89" s="532"/>
      <c r="R89" s="532"/>
      <c r="S89" s="532"/>
      <c r="T89" s="121"/>
      <c r="U89" s="532"/>
      <c r="V89" s="532"/>
      <c r="W89" s="532"/>
      <c r="X89" s="532"/>
      <c r="Y89" s="532"/>
      <c r="Z89" s="532"/>
      <c r="AA89" s="532"/>
      <c r="AB89" s="532"/>
      <c r="AC89" s="532"/>
      <c r="AD89" s="532"/>
      <c r="AE89" s="532"/>
      <c r="AF89" s="532"/>
      <c r="AG89" s="532"/>
      <c r="AH89" s="532"/>
      <c r="AI89" s="532"/>
      <c r="AJ89" s="532"/>
      <c r="AK89" s="532"/>
      <c r="AL89" s="532"/>
      <c r="AM89" s="532"/>
      <c r="AN89" s="532"/>
      <c r="AO89" s="532"/>
      <c r="AP89" s="532"/>
      <c r="AQ89" s="532"/>
      <c r="AR89" s="532"/>
      <c r="AS89" s="532"/>
      <c r="AT89" s="532"/>
      <c r="AU89" s="532"/>
      <c r="AV89" s="532"/>
      <c r="AW89" s="532"/>
      <c r="AX89" s="532"/>
      <c r="AY89" s="532"/>
    </row>
    <row r="90" spans="1:51" ht="15" customHeight="1" x14ac:dyDescent="0.25">
      <c r="B90" s="155"/>
      <c r="C90" s="455"/>
      <c r="D90" s="704" t="s">
        <v>173</v>
      </c>
      <c r="E90" s="705"/>
      <c r="F90" s="705"/>
      <c r="G90" s="706"/>
      <c r="H90" s="702" t="str">
        <f>$H$13</f>
        <v>Variable Costs</v>
      </c>
      <c r="I90" s="702">
        <f t="shared" ref="I90:N90" si="29">I40</f>
        <v>0</v>
      </c>
      <c r="J90" s="702">
        <f t="shared" si="29"/>
        <v>0</v>
      </c>
      <c r="K90" s="702">
        <f t="shared" si="29"/>
        <v>0</v>
      </c>
      <c r="L90" s="702">
        <f t="shared" si="29"/>
        <v>0</v>
      </c>
      <c r="M90" s="702">
        <f t="shared" si="29"/>
        <v>0</v>
      </c>
      <c r="N90" s="702">
        <f t="shared" si="29"/>
        <v>0</v>
      </c>
      <c r="O90" s="690" t="str">
        <f>$O$13</f>
        <v>Total Cost ($/Acre)</v>
      </c>
      <c r="P90" s="198" t="s">
        <v>417</v>
      </c>
      <c r="Q90" s="532"/>
      <c r="R90" s="532"/>
      <c r="S90" s="532"/>
      <c r="T90" s="532"/>
      <c r="U90" s="121"/>
      <c r="V90" s="121"/>
      <c r="W90" s="121"/>
      <c r="X90" s="121"/>
      <c r="Y90" s="121"/>
      <c r="Z90" s="121"/>
      <c r="AA90" s="121"/>
      <c r="AB90" s="121"/>
      <c r="AC90" s="532"/>
      <c r="AD90" s="532"/>
      <c r="AE90" s="532"/>
      <c r="AF90" s="532"/>
      <c r="AG90" s="532"/>
      <c r="AH90" s="532"/>
      <c r="AI90" s="532"/>
      <c r="AJ90" s="532"/>
      <c r="AK90" s="532"/>
      <c r="AL90" s="532"/>
      <c r="AM90" s="532"/>
      <c r="AN90" s="532"/>
      <c r="AO90" s="532"/>
      <c r="AP90" s="532"/>
      <c r="AQ90" s="532"/>
      <c r="AR90" s="532"/>
      <c r="AS90" s="532"/>
      <c r="AT90" s="532"/>
      <c r="AU90" s="532"/>
      <c r="AV90" s="532"/>
      <c r="AW90" s="532"/>
      <c r="AX90" s="532"/>
      <c r="AY90" s="532"/>
    </row>
    <row r="91" spans="1:51" ht="12.75" x14ac:dyDescent="0.2">
      <c r="B91" s="714" t="str">
        <f>$B$14</f>
        <v>Operation</v>
      </c>
      <c r="C91" s="456"/>
      <c r="D91" s="694" t="str">
        <f>$D$14</f>
        <v>Depreciation</v>
      </c>
      <c r="E91" s="694" t="str">
        <f>$E$14</f>
        <v>Interest</v>
      </c>
      <c r="F91" s="694" t="str">
        <f>$F$14</f>
        <v>Taxes, housing, insurance, licenses</v>
      </c>
      <c r="G91" s="690" t="str">
        <f>$G$14</f>
        <v>Total Fixed Costs</v>
      </c>
      <c r="H91" s="694" t="str">
        <f>$H$14</f>
        <v>Repairs</v>
      </c>
      <c r="I91" s="694" t="str">
        <f>$I$14</f>
        <v>Lube Cost</v>
      </c>
      <c r="J91" s="703" t="str">
        <f>$J$14</f>
        <v>Fuel</v>
      </c>
      <c r="K91" s="703">
        <f>K41</f>
        <v>0</v>
      </c>
      <c r="L91" s="703" t="str">
        <f>$L$14</f>
        <v>Labor</v>
      </c>
      <c r="M91" s="703">
        <f>M41</f>
        <v>0</v>
      </c>
      <c r="N91" s="690" t="str">
        <f>$N$14</f>
        <v>Total Variable Costs</v>
      </c>
      <c r="O91" s="713"/>
      <c r="P91" s="590" t="s">
        <v>459</v>
      </c>
      <c r="Q91" s="532"/>
      <c r="R91" s="532"/>
      <c r="S91" s="532"/>
      <c r="T91" s="532"/>
      <c r="U91" s="532"/>
      <c r="V91" s="532"/>
      <c r="W91" s="532"/>
      <c r="X91" s="532"/>
      <c r="Y91" s="532"/>
      <c r="Z91" s="532"/>
      <c r="AA91" s="532"/>
      <c r="AB91" s="532"/>
      <c r="AC91" s="532"/>
      <c r="AD91" s="532"/>
      <c r="AE91" s="532"/>
      <c r="AF91" s="532"/>
      <c r="AG91" s="532"/>
      <c r="AH91" s="532"/>
      <c r="AI91" s="532"/>
      <c r="AJ91" s="532"/>
      <c r="AK91" s="532"/>
      <c r="AL91" s="532"/>
      <c r="AM91" s="532"/>
      <c r="AN91" s="532"/>
      <c r="AO91" s="532"/>
      <c r="AP91" s="532"/>
      <c r="AQ91" s="532"/>
      <c r="AR91" s="532"/>
      <c r="AS91" s="532"/>
      <c r="AT91" s="532"/>
      <c r="AU91" s="532"/>
      <c r="AV91" s="532"/>
      <c r="AW91" s="532"/>
      <c r="AX91" s="532"/>
      <c r="AY91" s="532"/>
    </row>
    <row r="92" spans="1:51" ht="39" customHeight="1" x14ac:dyDescent="0.2">
      <c r="B92" s="715" t="str">
        <f>B42</f>
        <v>Soft White Winter Wheat</v>
      </c>
      <c r="C92" s="452" t="s">
        <v>208</v>
      </c>
      <c r="D92" s="695"/>
      <c r="E92" s="695"/>
      <c r="F92" s="695"/>
      <c r="G92" s="691"/>
      <c r="H92" s="700">
        <f>H42</f>
        <v>0</v>
      </c>
      <c r="I92" s="700">
        <f>I42</f>
        <v>0</v>
      </c>
      <c r="J92" s="238" t="str">
        <f>$J$15</f>
        <v>Fuel Use gal/acre</v>
      </c>
      <c r="K92" s="238" t="str">
        <f>$K$15</f>
        <v>Fuel Cost</v>
      </c>
      <c r="L92" s="238" t="str">
        <f>$L$15</f>
        <v>Labor hrs/acre</v>
      </c>
      <c r="M92" s="238" t="str">
        <f>$M$15</f>
        <v>Labor Cost</v>
      </c>
      <c r="N92" s="691"/>
      <c r="O92" s="691"/>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532"/>
      <c r="AY92" s="532"/>
    </row>
    <row r="93" spans="1:51" ht="12.75" x14ac:dyDescent="0.2">
      <c r="B93" s="165" t="str">
        <f>$B$16</f>
        <v>Seasonal operations:</v>
      </c>
      <c r="C93" s="457"/>
      <c r="D93" s="460"/>
      <c r="E93" s="460"/>
      <c r="F93" s="460"/>
      <c r="G93" s="461"/>
      <c r="H93" s="166"/>
      <c r="I93" s="166"/>
      <c r="J93" s="170"/>
      <c r="K93" s="170"/>
      <c r="L93" s="170"/>
      <c r="M93" s="170"/>
      <c r="N93" s="171"/>
      <c r="O93" s="167"/>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532"/>
      <c r="AY93" s="532"/>
    </row>
    <row r="94" spans="1:51" ht="15" x14ac:dyDescent="0.25">
      <c r="A94" s="532"/>
      <c r="B94" s="164" t="str">
        <f>$B$17</f>
        <v>Self-propelled sprayer</v>
      </c>
      <c r="C94" s="459">
        <v>2</v>
      </c>
      <c r="D94" s="173">
        <f>$D$17*$C94</f>
        <v>3.64</v>
      </c>
      <c r="E94" s="173">
        <f>$E$17*$C94</f>
        <v>3.76</v>
      </c>
      <c r="F94" s="173">
        <f>$F$17*$C94</f>
        <v>1.86</v>
      </c>
      <c r="G94" s="464">
        <f>SUM(D94:F94)</f>
        <v>9.26</v>
      </c>
      <c r="H94" s="173">
        <f>$H$17*$C94</f>
        <v>0.88</v>
      </c>
      <c r="I94" s="173">
        <f>$I$17*$C94</f>
        <v>0.04</v>
      </c>
      <c r="J94" s="174">
        <f>$J$17*$C94</f>
        <v>0.08</v>
      </c>
      <c r="K94" s="173">
        <f>$K$17*$C94</f>
        <v>0.28000000000000003</v>
      </c>
      <c r="L94" s="174">
        <f>$L$17*$C94</f>
        <v>0.04</v>
      </c>
      <c r="M94" s="175">
        <f>$M$17*$C94</f>
        <v>0.8</v>
      </c>
      <c r="N94" s="239">
        <f t="shared" ref="N94:N99" si="30">SUM(H94,I94,K94,M94)</f>
        <v>2</v>
      </c>
      <c r="O94" s="176"/>
      <c r="P94" s="532"/>
      <c r="Q94" s="532"/>
      <c r="R94" s="532"/>
      <c r="S94" s="532"/>
      <c r="T94" s="532"/>
      <c r="U94" s="532"/>
      <c r="V94" s="532"/>
      <c r="W94" s="532"/>
      <c r="X94" s="532"/>
      <c r="Y94" s="532"/>
      <c r="Z94" s="532"/>
      <c r="AA94" s="532"/>
      <c r="AB94" s="532"/>
      <c r="AC94" s="532"/>
      <c r="AD94" s="532"/>
      <c r="AE94" s="532"/>
      <c r="AF94" s="532"/>
      <c r="AG94" s="532"/>
      <c r="AH94" s="532"/>
      <c r="AI94" s="532"/>
      <c r="AJ94" s="532"/>
      <c r="AK94" s="532"/>
      <c r="AL94" s="532"/>
      <c r="AM94" s="532"/>
      <c r="AN94" s="532"/>
      <c r="AO94" s="532"/>
      <c r="AP94" s="532"/>
      <c r="AQ94" s="532"/>
      <c r="AR94" s="532"/>
      <c r="AS94" s="532"/>
      <c r="AT94" s="532"/>
      <c r="AU94" s="532"/>
      <c r="AV94" s="532"/>
      <c r="AW94" s="532"/>
      <c r="AX94" s="532"/>
      <c r="AY94" s="532"/>
    </row>
    <row r="95" spans="1:51" ht="15" x14ac:dyDescent="0.25">
      <c r="A95" s="532"/>
      <c r="B95" s="164" t="str">
        <f>$B$18</f>
        <v>300HP Tractor &amp; 90' sprayer</v>
      </c>
      <c r="C95" s="459">
        <v>0</v>
      </c>
      <c r="D95" s="173">
        <f>$D$18*$C95</f>
        <v>0</v>
      </c>
      <c r="E95" s="173">
        <f>$E$18*$C95</f>
        <v>0</v>
      </c>
      <c r="F95" s="173">
        <f>$F$18*$C95</f>
        <v>0</v>
      </c>
      <c r="G95" s="464">
        <f>SUM(D95:F95)</f>
        <v>0</v>
      </c>
      <c r="H95" s="173">
        <f>$H$18*$C95</f>
        <v>0</v>
      </c>
      <c r="I95" s="173">
        <f>$I$18*$C95</f>
        <v>0</v>
      </c>
      <c r="J95" s="174">
        <f>$J$18*$C95</f>
        <v>0</v>
      </c>
      <c r="K95" s="173">
        <f>$K$18*$C95</f>
        <v>0</v>
      </c>
      <c r="L95" s="174">
        <f>$L$18*$C95</f>
        <v>0</v>
      </c>
      <c r="M95" s="175">
        <f>$M$18*$C95</f>
        <v>0</v>
      </c>
      <c r="N95" s="239">
        <f t="shared" si="30"/>
        <v>0</v>
      </c>
      <c r="O95" s="176"/>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c r="AM95" s="532"/>
      <c r="AN95" s="532"/>
      <c r="AO95" s="532"/>
      <c r="AP95" s="532"/>
      <c r="AQ95" s="532"/>
      <c r="AR95" s="532"/>
      <c r="AS95" s="532"/>
      <c r="AT95" s="532"/>
      <c r="AU95" s="532"/>
      <c r="AV95" s="532"/>
      <c r="AW95" s="532"/>
      <c r="AX95" s="532"/>
      <c r="AY95" s="532"/>
    </row>
    <row r="96" spans="1:51" ht="15" x14ac:dyDescent="0.25">
      <c r="A96" s="532"/>
      <c r="B96" s="164" t="str">
        <f>$B$19</f>
        <v>300HP Tractor &amp; 48' rodweeder</v>
      </c>
      <c r="C96" s="459">
        <v>0</v>
      </c>
      <c r="D96" s="173">
        <f>$D$19*$C96</f>
        <v>0</v>
      </c>
      <c r="E96" s="173">
        <f>$E$19*$C96</f>
        <v>0</v>
      </c>
      <c r="F96" s="173">
        <f>$F$19*$C96</f>
        <v>0</v>
      </c>
      <c r="G96" s="464">
        <f>SUM(D96:F96)</f>
        <v>0</v>
      </c>
      <c r="H96" s="173">
        <f>$H$19*$C96</f>
        <v>0</v>
      </c>
      <c r="I96" s="173">
        <f>$I$19*$C96</f>
        <v>0</v>
      </c>
      <c r="J96" s="174">
        <f>$J$19*$C96</f>
        <v>0</v>
      </c>
      <c r="K96" s="173">
        <f>$K$19*$C96</f>
        <v>0</v>
      </c>
      <c r="L96" s="174">
        <f>$L$19*$C96</f>
        <v>0</v>
      </c>
      <c r="M96" s="175">
        <f>$M$19*$C96</f>
        <v>0</v>
      </c>
      <c r="N96" s="239">
        <f t="shared" si="30"/>
        <v>0</v>
      </c>
      <c r="O96" s="176"/>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c r="AM96" s="532"/>
      <c r="AN96" s="532"/>
      <c r="AO96" s="532"/>
      <c r="AP96" s="532"/>
      <c r="AQ96" s="532"/>
      <c r="AR96" s="532"/>
      <c r="AS96" s="532"/>
      <c r="AT96" s="532"/>
      <c r="AU96" s="532"/>
      <c r="AV96" s="532"/>
      <c r="AW96" s="532"/>
      <c r="AX96" s="532"/>
      <c r="AY96" s="532"/>
    </row>
    <row r="97" spans="1:51" ht="15" x14ac:dyDescent="0.25">
      <c r="B97" s="164" t="str">
        <f>$B$20</f>
        <v>300HP Tractor &amp; 26' shredder</v>
      </c>
      <c r="C97" s="459">
        <v>0</v>
      </c>
      <c r="D97" s="173">
        <f>$D$20*$C97</f>
        <v>0</v>
      </c>
      <c r="E97" s="173">
        <f>$E$20*$C97</f>
        <v>0</v>
      </c>
      <c r="F97" s="173">
        <f>$F$20*$C97</f>
        <v>0</v>
      </c>
      <c r="G97" s="464">
        <f>SUM(D97:F97)</f>
        <v>0</v>
      </c>
      <c r="H97" s="173">
        <f>$H$20*$C97</f>
        <v>0</v>
      </c>
      <c r="I97" s="173">
        <f>$I$20*$C97</f>
        <v>0</v>
      </c>
      <c r="J97" s="174">
        <f>$J$20*$C97</f>
        <v>0</v>
      </c>
      <c r="K97" s="173">
        <f>$K$20*$C97</f>
        <v>0</v>
      </c>
      <c r="L97" s="174">
        <f>$L$20*$C97</f>
        <v>0</v>
      </c>
      <c r="M97" s="175">
        <f>$M$20*$C97</f>
        <v>0</v>
      </c>
      <c r="N97" s="239">
        <f t="shared" si="30"/>
        <v>0</v>
      </c>
      <c r="O97" s="176"/>
      <c r="P97" s="532"/>
      <c r="Q97" s="532"/>
      <c r="R97" s="532"/>
      <c r="S97" s="532"/>
      <c r="T97" s="532"/>
      <c r="U97" s="532"/>
      <c r="V97" s="532"/>
      <c r="W97" s="532"/>
      <c r="X97" s="532"/>
      <c r="Y97" s="532"/>
      <c r="Z97" s="532"/>
      <c r="AA97" s="532"/>
      <c r="AB97" s="532"/>
      <c r="AC97" s="532"/>
      <c r="AD97" s="532"/>
      <c r="AE97" s="532"/>
      <c r="AF97" s="532"/>
      <c r="AG97" s="532"/>
      <c r="AH97" s="532"/>
      <c r="AI97" s="532"/>
      <c r="AJ97" s="532"/>
      <c r="AK97" s="532"/>
      <c r="AL97" s="532"/>
      <c r="AM97" s="532"/>
      <c r="AN97" s="532"/>
      <c r="AO97" s="532"/>
      <c r="AP97" s="532"/>
      <c r="AQ97" s="532"/>
      <c r="AR97" s="532"/>
      <c r="AS97" s="532"/>
      <c r="AT97" s="532"/>
      <c r="AU97" s="532"/>
      <c r="AV97" s="532"/>
      <c r="AW97" s="532"/>
      <c r="AX97" s="532"/>
      <c r="AY97" s="532"/>
    </row>
    <row r="98" spans="1:51" ht="15" x14ac:dyDescent="0.25">
      <c r="B98" s="164" t="str">
        <f>$B$21</f>
        <v>300HP Tractor &amp; 34' tandem disk</v>
      </c>
      <c r="C98" s="459">
        <v>0</v>
      </c>
      <c r="D98" s="173">
        <f>$D$21*$C98</f>
        <v>0</v>
      </c>
      <c r="E98" s="173">
        <f>$E$21*$C98</f>
        <v>0</v>
      </c>
      <c r="F98" s="173">
        <f>$F$21*$C98</f>
        <v>0</v>
      </c>
      <c r="G98" s="464">
        <f t="shared" ref="G98:G106" si="31">SUM(D98:F98)</f>
        <v>0</v>
      </c>
      <c r="H98" s="173">
        <f>$H$21*$C98</f>
        <v>0</v>
      </c>
      <c r="I98" s="173">
        <f>$I$21*$C98</f>
        <v>0</v>
      </c>
      <c r="J98" s="174">
        <f>$J$21*$C98</f>
        <v>0</v>
      </c>
      <c r="K98" s="173">
        <f>$K$21*$C98</f>
        <v>0</v>
      </c>
      <c r="L98" s="174">
        <f>$L$21*$C98</f>
        <v>0</v>
      </c>
      <c r="M98" s="175">
        <f>$M$21*$C98</f>
        <v>0</v>
      </c>
      <c r="N98" s="239">
        <f t="shared" si="30"/>
        <v>0</v>
      </c>
      <c r="O98" s="176"/>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row>
    <row r="99" spans="1:51" ht="15" x14ac:dyDescent="0.25">
      <c r="A99" s="532"/>
      <c r="B99" s="164" t="str">
        <f>$B$22</f>
        <v>300HP Tractor &amp; 36' cultiweeder</v>
      </c>
      <c r="C99" s="459">
        <v>0</v>
      </c>
      <c r="D99" s="173">
        <f>$D$22*$C99</f>
        <v>0</v>
      </c>
      <c r="E99" s="173">
        <f>$E$22*$C99</f>
        <v>0</v>
      </c>
      <c r="F99" s="173">
        <f>$F$22*$C99</f>
        <v>0</v>
      </c>
      <c r="G99" s="464">
        <f t="shared" si="31"/>
        <v>0</v>
      </c>
      <c r="H99" s="173">
        <f>$H$22*$C99</f>
        <v>0</v>
      </c>
      <c r="I99" s="173">
        <f>$I$22*$C99</f>
        <v>0</v>
      </c>
      <c r="J99" s="174">
        <f>$J$22*$C99</f>
        <v>0</v>
      </c>
      <c r="K99" s="173">
        <f>$K$22*$C99</f>
        <v>0</v>
      </c>
      <c r="L99" s="174">
        <f>$L$22*$C99</f>
        <v>0</v>
      </c>
      <c r="M99" s="175">
        <f>$M$22*$C99</f>
        <v>0</v>
      </c>
      <c r="N99" s="239">
        <f t="shared" si="30"/>
        <v>0</v>
      </c>
      <c r="O99" s="176"/>
      <c r="P99" s="532"/>
      <c r="Q99" s="532"/>
      <c r="R99" s="532"/>
      <c r="S99" s="532"/>
      <c r="T99" s="532"/>
      <c r="U99" s="532"/>
      <c r="V99" s="532"/>
      <c r="W99" s="532"/>
      <c r="X99" s="532"/>
      <c r="Y99" s="532"/>
      <c r="Z99" s="532"/>
      <c r="AA99" s="532"/>
      <c r="AB99" s="532"/>
      <c r="AC99" s="532"/>
      <c r="AD99" s="532"/>
      <c r="AE99" s="532"/>
      <c r="AF99" s="532"/>
      <c r="AG99" s="532"/>
      <c r="AH99" s="532"/>
      <c r="AI99" s="532"/>
      <c r="AJ99" s="532"/>
      <c r="AK99" s="532"/>
      <c r="AL99" s="532"/>
      <c r="AM99" s="532"/>
      <c r="AN99" s="532"/>
      <c r="AO99" s="532"/>
      <c r="AP99" s="532"/>
      <c r="AQ99" s="532"/>
      <c r="AR99" s="532"/>
      <c r="AS99" s="532"/>
      <c r="AT99" s="532"/>
      <c r="AU99" s="532"/>
      <c r="AV99" s="532"/>
      <c r="AW99" s="532"/>
      <c r="AX99" s="532"/>
      <c r="AY99" s="532"/>
    </row>
    <row r="100" spans="1:51" ht="15" x14ac:dyDescent="0.25">
      <c r="B100" s="156" t="str">
        <f>$B$23</f>
        <v>300HP Tractor &amp; 35' chisel plow</v>
      </c>
      <c r="C100" s="459">
        <v>0</v>
      </c>
      <c r="D100" s="173">
        <f>$D$23*$C100</f>
        <v>0</v>
      </c>
      <c r="E100" s="173">
        <f>$E$23*$C100</f>
        <v>0</v>
      </c>
      <c r="F100" s="173">
        <f>$F$23*$C100</f>
        <v>0</v>
      </c>
      <c r="G100" s="464">
        <f t="shared" si="31"/>
        <v>0</v>
      </c>
      <c r="H100" s="173">
        <f>$H$23*$C100</f>
        <v>0</v>
      </c>
      <c r="I100" s="173">
        <f>$I$23*$C100</f>
        <v>0</v>
      </c>
      <c r="J100" s="174">
        <f>$J$23*$C100</f>
        <v>0</v>
      </c>
      <c r="K100" s="173">
        <f>$K$23*$C100</f>
        <v>0</v>
      </c>
      <c r="L100" s="174">
        <f>$L$23*$C100</f>
        <v>0</v>
      </c>
      <c r="M100" s="175">
        <f>$M$23*$C100</f>
        <v>0</v>
      </c>
      <c r="N100" s="239">
        <f t="shared" ref="N100:N106" si="32">SUM(H100,I100,K100,M100)</f>
        <v>0</v>
      </c>
      <c r="O100" s="176"/>
      <c r="P100" s="532"/>
      <c r="Q100" s="532"/>
      <c r="R100" s="532"/>
      <c r="S100" s="532"/>
      <c r="T100" s="532"/>
      <c r="U100" s="532"/>
      <c r="V100" s="532"/>
      <c r="W100" s="532"/>
      <c r="X100" s="532"/>
      <c r="Y100" s="532"/>
      <c r="Z100" s="532"/>
      <c r="AA100" s="532"/>
      <c r="AB100" s="532"/>
      <c r="AC100" s="532"/>
      <c r="AD100" s="532"/>
      <c r="AE100" s="532"/>
      <c r="AF100" s="532"/>
      <c r="AG100" s="532"/>
      <c r="AH100" s="532"/>
      <c r="AI100" s="532"/>
      <c r="AJ100" s="532"/>
      <c r="AK100" s="532"/>
      <c r="AL100" s="532"/>
      <c r="AM100" s="532"/>
      <c r="AN100" s="532"/>
      <c r="AO100" s="532"/>
      <c r="AP100" s="532"/>
      <c r="AQ100" s="532"/>
      <c r="AR100" s="532"/>
      <c r="AS100" s="532"/>
      <c r="AT100" s="532"/>
      <c r="AU100" s="532"/>
      <c r="AV100" s="532"/>
      <c r="AW100" s="532"/>
      <c r="AX100" s="532"/>
      <c r="AY100" s="532"/>
    </row>
    <row r="101" spans="1:51" ht="15" x14ac:dyDescent="0.25">
      <c r="B101" s="156" t="str">
        <f>$B$24</f>
        <v>300HP Tractor &amp; 36' cultivator</v>
      </c>
      <c r="C101" s="459">
        <v>0</v>
      </c>
      <c r="D101" s="173">
        <f>$D$24*$C101</f>
        <v>0</v>
      </c>
      <c r="E101" s="173">
        <f>$E$24*$C101</f>
        <v>0</v>
      </c>
      <c r="F101" s="173">
        <f>$F$24*$C101</f>
        <v>0</v>
      </c>
      <c r="G101" s="464">
        <f t="shared" si="31"/>
        <v>0</v>
      </c>
      <c r="H101" s="173">
        <f>$H$24*$C101</f>
        <v>0</v>
      </c>
      <c r="I101" s="173">
        <f>$I$24*$C101</f>
        <v>0</v>
      </c>
      <c r="J101" s="174">
        <f>$J$24*$C101</f>
        <v>0</v>
      </c>
      <c r="K101" s="173">
        <f>$K$24*$C101</f>
        <v>0</v>
      </c>
      <c r="L101" s="174">
        <f>$L$24*$C101</f>
        <v>0</v>
      </c>
      <c r="M101" s="175">
        <f>$M$24*$C101</f>
        <v>0</v>
      </c>
      <c r="N101" s="239">
        <f t="shared" si="32"/>
        <v>0</v>
      </c>
      <c r="O101" s="176"/>
      <c r="P101" s="532"/>
      <c r="Q101" s="532"/>
      <c r="R101" s="532"/>
      <c r="S101" s="532"/>
      <c r="T101" s="532"/>
      <c r="U101" s="532"/>
      <c r="V101" s="532"/>
      <c r="W101" s="532"/>
      <c r="X101" s="532"/>
      <c r="Y101" s="532"/>
      <c r="Z101" s="532"/>
      <c r="AA101" s="532"/>
      <c r="AB101" s="532"/>
      <c r="AC101" s="532"/>
      <c r="AD101" s="532"/>
      <c r="AE101" s="532"/>
      <c r="AF101" s="532"/>
      <c r="AG101" s="532"/>
      <c r="AH101" s="532"/>
      <c r="AI101" s="532"/>
      <c r="AJ101" s="532"/>
      <c r="AK101" s="532"/>
      <c r="AL101" s="532"/>
      <c r="AM101" s="532"/>
      <c r="AN101" s="532"/>
      <c r="AO101" s="532"/>
      <c r="AP101" s="532"/>
      <c r="AQ101" s="532"/>
      <c r="AR101" s="532"/>
      <c r="AS101" s="532"/>
      <c r="AT101" s="532"/>
      <c r="AU101" s="532"/>
      <c r="AV101" s="532"/>
      <c r="AW101" s="532"/>
      <c r="AX101" s="532"/>
      <c r="AY101" s="532"/>
    </row>
    <row r="102" spans="1:51" ht="15" x14ac:dyDescent="0.25">
      <c r="B102" s="156" t="str">
        <f>$B$25</f>
        <v>300HP Tractor &amp; 48' spring tooth harrow</v>
      </c>
      <c r="C102" s="459">
        <v>0</v>
      </c>
      <c r="D102" s="173">
        <f>$D$25*$C102</f>
        <v>0</v>
      </c>
      <c r="E102" s="173">
        <f>$E$25*$C102</f>
        <v>0</v>
      </c>
      <c r="F102" s="173">
        <f>$F$25*$C102</f>
        <v>0</v>
      </c>
      <c r="G102" s="464">
        <f t="shared" si="31"/>
        <v>0</v>
      </c>
      <c r="H102" s="173">
        <f>$H$25*$C102</f>
        <v>0</v>
      </c>
      <c r="I102" s="173">
        <f>$I$25*$C102</f>
        <v>0</v>
      </c>
      <c r="J102" s="174">
        <f>$J$25*$C102</f>
        <v>0</v>
      </c>
      <c r="K102" s="173">
        <f>$K$25*$C102</f>
        <v>0</v>
      </c>
      <c r="L102" s="174">
        <f>$L$25*$C102</f>
        <v>0</v>
      </c>
      <c r="M102" s="175">
        <f>$M$25*$C102</f>
        <v>0</v>
      </c>
      <c r="N102" s="239">
        <f t="shared" si="32"/>
        <v>0</v>
      </c>
      <c r="O102" s="176"/>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c r="AM102" s="532"/>
      <c r="AN102" s="532"/>
      <c r="AO102" s="532"/>
      <c r="AP102" s="532"/>
      <c r="AQ102" s="532"/>
      <c r="AR102" s="532"/>
      <c r="AS102" s="532"/>
      <c r="AT102" s="532"/>
      <c r="AU102" s="532"/>
      <c r="AV102" s="532"/>
      <c r="AW102" s="532"/>
      <c r="AX102" s="532"/>
      <c r="AY102" s="532"/>
    </row>
    <row r="103" spans="1:51" ht="15" x14ac:dyDescent="0.25">
      <c r="B103" s="156" t="str">
        <f>$B$26</f>
        <v>300HP Tractor &amp; 36' grain drill</v>
      </c>
      <c r="C103" s="459">
        <v>1</v>
      </c>
      <c r="D103" s="173">
        <f>$D$26*$C103</f>
        <v>1.54</v>
      </c>
      <c r="E103" s="173">
        <f>$E$26*$C103</f>
        <v>1.4</v>
      </c>
      <c r="F103" s="173">
        <f>$F$26*$C103</f>
        <v>0.49</v>
      </c>
      <c r="G103" s="464">
        <f t="shared" si="31"/>
        <v>3.4299999999999997</v>
      </c>
      <c r="H103" s="173">
        <f>$H$26*$C103</f>
        <v>1.02</v>
      </c>
      <c r="I103" s="173">
        <f>$I$26*$C103</f>
        <v>0.56999999999999995</v>
      </c>
      <c r="J103" s="174">
        <f>$J$26*$C103</f>
        <v>1.1200000000000001</v>
      </c>
      <c r="K103" s="173">
        <f>$K$26*$C103</f>
        <v>3.81</v>
      </c>
      <c r="L103" s="174">
        <f>$L$26*$C103</f>
        <v>0.09</v>
      </c>
      <c r="M103" s="175">
        <f>$M$26*$C103</f>
        <v>1.8</v>
      </c>
      <c r="N103" s="239">
        <f t="shared" si="32"/>
        <v>7.2</v>
      </c>
      <c r="O103" s="176"/>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2"/>
      <c r="AO103" s="532"/>
      <c r="AP103" s="532"/>
      <c r="AQ103" s="532"/>
      <c r="AR103" s="532"/>
      <c r="AS103" s="532"/>
      <c r="AT103" s="532"/>
      <c r="AU103" s="532"/>
      <c r="AV103" s="532"/>
      <c r="AW103" s="532"/>
      <c r="AX103" s="532"/>
      <c r="AY103" s="532"/>
    </row>
    <row r="104" spans="1:51" ht="15" x14ac:dyDescent="0.25">
      <c r="B104" s="168" t="str">
        <f>$B$27</f>
        <v>Combine &amp; 30' header  *4 mph harvest speed*</v>
      </c>
      <c r="C104" s="459">
        <v>1</v>
      </c>
      <c r="D104" s="173">
        <f>$D$27*$C104</f>
        <v>2.48</v>
      </c>
      <c r="E104" s="173">
        <f>$E$27*$C104</f>
        <v>2.21</v>
      </c>
      <c r="F104" s="173">
        <f>$F$27*$C104</f>
        <v>0.92</v>
      </c>
      <c r="G104" s="464">
        <f t="shared" si="31"/>
        <v>5.6099999999999994</v>
      </c>
      <c r="H104" s="173">
        <f>$H$27*$C104</f>
        <v>2.29</v>
      </c>
      <c r="I104" s="173">
        <f>$I$27*$C104</f>
        <v>0.27</v>
      </c>
      <c r="J104" s="174">
        <f>$J$27*$C104</f>
        <v>0.52</v>
      </c>
      <c r="K104" s="173">
        <f>$K$27*$C104</f>
        <v>1.77</v>
      </c>
      <c r="L104" s="174">
        <f>$L$27*$C104</f>
        <v>0.09</v>
      </c>
      <c r="M104" s="175">
        <f>$M$27*$C104</f>
        <v>1.8</v>
      </c>
      <c r="N104" s="239">
        <f t="shared" si="32"/>
        <v>6.13</v>
      </c>
      <c r="O104" s="176"/>
      <c r="P104" s="533"/>
      <c r="Q104" s="532"/>
      <c r="R104" s="532"/>
      <c r="S104" s="532"/>
      <c r="T104" s="532"/>
      <c r="U104" s="532"/>
      <c r="V104" s="532"/>
      <c r="W104" s="532"/>
      <c r="X104" s="532"/>
      <c r="Y104" s="532"/>
      <c r="Z104" s="532"/>
      <c r="AA104" s="532"/>
      <c r="AB104" s="532"/>
      <c r="AC104" s="532"/>
      <c r="AD104" s="532"/>
      <c r="AE104" s="532"/>
      <c r="AF104" s="532"/>
      <c r="AG104" s="532"/>
      <c r="AH104" s="532"/>
      <c r="AI104" s="532"/>
      <c r="AJ104" s="532"/>
      <c r="AK104" s="532"/>
      <c r="AL104" s="532"/>
      <c r="AM104" s="532"/>
      <c r="AN104" s="532"/>
      <c r="AO104" s="532"/>
      <c r="AP104" s="532"/>
      <c r="AQ104" s="532"/>
      <c r="AR104" s="532"/>
      <c r="AS104" s="532"/>
      <c r="AT104" s="532"/>
      <c r="AU104" s="532"/>
      <c r="AV104" s="532"/>
      <c r="AW104" s="532"/>
      <c r="AX104" s="532"/>
      <c r="AY104" s="532"/>
    </row>
    <row r="105" spans="1:51" ht="15" x14ac:dyDescent="0.25">
      <c r="A105" s="532"/>
      <c r="B105" s="168" t="str">
        <f>$B$28</f>
        <v>Combine &amp; 30' header *3 mph harvest speed*</v>
      </c>
      <c r="C105" s="459">
        <v>0</v>
      </c>
      <c r="D105" s="173">
        <f>$D$28*$C105</f>
        <v>0</v>
      </c>
      <c r="E105" s="173">
        <f>$E$28*$C105</f>
        <v>0</v>
      </c>
      <c r="F105" s="173">
        <f>$F$28*$C105</f>
        <v>0</v>
      </c>
      <c r="G105" s="464">
        <f t="shared" si="31"/>
        <v>0</v>
      </c>
      <c r="H105" s="173">
        <f>$H$28*$C105</f>
        <v>0</v>
      </c>
      <c r="I105" s="173">
        <f>$I$28*$C105</f>
        <v>0</v>
      </c>
      <c r="J105" s="174">
        <f>$J$28*$C105</f>
        <v>0</v>
      </c>
      <c r="K105" s="173">
        <f>$K$28*$C105</f>
        <v>0</v>
      </c>
      <c r="L105" s="174">
        <f>$L$28*$C105</f>
        <v>0</v>
      </c>
      <c r="M105" s="175">
        <f>$M$28*$C105</f>
        <v>0</v>
      </c>
      <c r="N105" s="239">
        <f t="shared" si="32"/>
        <v>0</v>
      </c>
      <c r="O105" s="176"/>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c r="AM105" s="532"/>
      <c r="AN105" s="532"/>
      <c r="AO105" s="532"/>
      <c r="AP105" s="532"/>
      <c r="AQ105" s="532"/>
      <c r="AR105" s="532"/>
      <c r="AS105" s="532"/>
      <c r="AT105" s="532"/>
      <c r="AU105" s="532"/>
      <c r="AV105" s="532"/>
      <c r="AW105" s="532"/>
      <c r="AX105" s="532"/>
      <c r="AY105" s="532"/>
    </row>
    <row r="106" spans="1:51" ht="15" x14ac:dyDescent="0.25">
      <c r="B106" s="168" t="str">
        <f>$B$29</f>
        <v>300HP Tractor &amp; Bankout wagon</v>
      </c>
      <c r="C106" s="459">
        <v>1</v>
      </c>
      <c r="D106" s="173">
        <f>$D$29*$C106</f>
        <v>0.9163</v>
      </c>
      <c r="E106" s="173">
        <f>$E$29*$C106</f>
        <v>0.53899999999999992</v>
      </c>
      <c r="F106" s="173">
        <f>$F$29*$C106</f>
        <v>8.4699999999999998E-2</v>
      </c>
      <c r="G106" s="464">
        <f t="shared" si="31"/>
        <v>1.5399999999999998</v>
      </c>
      <c r="H106" s="173">
        <f>$H$29*$C106</f>
        <v>0.40810000000000002</v>
      </c>
      <c r="I106" s="173">
        <f>$I$29*$C106</f>
        <v>0.25</v>
      </c>
      <c r="J106" s="174">
        <f>$J$29*$C106</f>
        <v>0.49</v>
      </c>
      <c r="K106" s="173">
        <f>$K$29*$C106</f>
        <v>1.67</v>
      </c>
      <c r="L106" s="174">
        <f>$L$29*$C106</f>
        <v>0.09</v>
      </c>
      <c r="M106" s="175">
        <f>$M$29*$C106</f>
        <v>1.8</v>
      </c>
      <c r="N106" s="239">
        <f t="shared" si="32"/>
        <v>4.1280999999999999</v>
      </c>
      <c r="O106" s="176"/>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c r="AM106" s="532"/>
      <c r="AN106" s="532"/>
      <c r="AO106" s="532"/>
      <c r="AP106" s="532"/>
      <c r="AQ106" s="532"/>
      <c r="AR106" s="532"/>
      <c r="AS106" s="532"/>
      <c r="AT106" s="532"/>
      <c r="AU106" s="532"/>
      <c r="AV106" s="532"/>
      <c r="AW106" s="532"/>
      <c r="AX106" s="532"/>
      <c r="AY106" s="532"/>
    </row>
    <row r="107" spans="1:51" ht="15" x14ac:dyDescent="0.25">
      <c r="B107" s="255" t="str">
        <f>$B$30</f>
        <v>Annual Costs:</v>
      </c>
      <c r="C107" s="454"/>
      <c r="D107" s="268"/>
      <c r="E107" s="268"/>
      <c r="F107" s="268"/>
      <c r="G107" s="465"/>
      <c r="H107" s="269"/>
      <c r="I107" s="269"/>
      <c r="J107" s="270"/>
      <c r="K107" s="269"/>
      <c r="L107" s="270"/>
      <c r="M107" s="271"/>
      <c r="N107" s="272"/>
      <c r="O107" s="273"/>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c r="AM107" s="532"/>
      <c r="AN107" s="532"/>
      <c r="AO107" s="532"/>
      <c r="AP107" s="532"/>
      <c r="AQ107" s="532"/>
      <c r="AR107" s="532"/>
      <c r="AS107" s="532"/>
      <c r="AT107" s="532"/>
      <c r="AU107" s="532"/>
      <c r="AV107" s="532"/>
      <c r="AW107" s="532"/>
      <c r="AX107" s="532"/>
      <c r="AY107" s="532"/>
    </row>
    <row r="108" spans="1:51" ht="15" x14ac:dyDescent="0.25">
      <c r="B108" s="261" t="str">
        <f>$B$31</f>
        <v>Tandem axle truck</v>
      </c>
      <c r="C108" s="458"/>
      <c r="D108" s="274">
        <f>$D$31</f>
        <v>0.39</v>
      </c>
      <c r="E108" s="274">
        <f>$E$31</f>
        <v>0.44</v>
      </c>
      <c r="F108" s="274">
        <f>$F$31</f>
        <v>0.72</v>
      </c>
      <c r="G108" s="466">
        <f>$G$31</f>
        <v>1.55</v>
      </c>
      <c r="H108" s="274">
        <f>$H$31</f>
        <v>0.56999999999999995</v>
      </c>
      <c r="I108" s="274">
        <f>$I$31</f>
        <v>0.04</v>
      </c>
      <c r="J108" s="275">
        <f>$J$31</f>
        <v>7.0000000000000007E-2</v>
      </c>
      <c r="K108" s="274">
        <f>$K$31</f>
        <v>0.24</v>
      </c>
      <c r="L108" s="275">
        <f>$L$31</f>
        <v>0.03</v>
      </c>
      <c r="M108" s="266">
        <f>$M$31</f>
        <v>0.51</v>
      </c>
      <c r="N108" s="276">
        <f t="shared" ref="N108:N113" si="33">SUM(H108,I108,K108,M108)</f>
        <v>1.3599999999999999</v>
      </c>
      <c r="O108" s="277"/>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row>
    <row r="109" spans="1:51" ht="15" x14ac:dyDescent="0.25">
      <c r="B109" s="261" t="str">
        <f>$B$32</f>
        <v>Tandem axle truck</v>
      </c>
      <c r="C109" s="458"/>
      <c r="D109" s="274">
        <f>$D$32</f>
        <v>0.39</v>
      </c>
      <c r="E109" s="274">
        <f>$E$32</f>
        <v>0.44</v>
      </c>
      <c r="F109" s="274">
        <f>$F$32</f>
        <v>0.72</v>
      </c>
      <c r="G109" s="466">
        <f>$G$32</f>
        <v>1.55</v>
      </c>
      <c r="H109" s="274">
        <f>$H$32</f>
        <v>0.56999999999999995</v>
      </c>
      <c r="I109" s="274">
        <f>$I$32</f>
        <v>0.04</v>
      </c>
      <c r="J109" s="275">
        <f>$J$32</f>
        <v>7.0000000000000007E-2</v>
      </c>
      <c r="K109" s="274">
        <f>$K$32</f>
        <v>0.24</v>
      </c>
      <c r="L109" s="275">
        <f>$L$32</f>
        <v>0.03</v>
      </c>
      <c r="M109" s="266">
        <f>$M$32</f>
        <v>0.51</v>
      </c>
      <c r="N109" s="276">
        <f t="shared" si="33"/>
        <v>1.3599999999999999</v>
      </c>
      <c r="O109" s="277"/>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c r="AM109" s="532"/>
      <c r="AN109" s="532"/>
      <c r="AO109" s="532"/>
      <c r="AP109" s="532"/>
      <c r="AQ109" s="532"/>
      <c r="AR109" s="532"/>
      <c r="AS109" s="532"/>
      <c r="AT109" s="532"/>
      <c r="AU109" s="532"/>
      <c r="AV109" s="532"/>
      <c r="AW109" s="532"/>
      <c r="AX109" s="532"/>
      <c r="AY109" s="532"/>
    </row>
    <row r="110" spans="1:51" ht="15" x14ac:dyDescent="0.25">
      <c r="B110" s="261" t="str">
        <f>$B$33</f>
        <v>2-ton truck</v>
      </c>
      <c r="C110" s="458"/>
      <c r="D110" s="274">
        <f>$D$33</f>
        <v>0.32</v>
      </c>
      <c r="E110" s="274">
        <f>$E$33</f>
        <v>0.26</v>
      </c>
      <c r="F110" s="274">
        <f>$F$33</f>
        <v>0.42</v>
      </c>
      <c r="G110" s="466">
        <f>$G$33</f>
        <v>1</v>
      </c>
      <c r="H110" s="274">
        <f>$H$33</f>
        <v>0.28999999999999998</v>
      </c>
      <c r="I110" s="274">
        <f>$I$33</f>
        <v>0.03</v>
      </c>
      <c r="J110" s="275">
        <f>$J$33</f>
        <v>0.05</v>
      </c>
      <c r="K110" s="274">
        <f>$K$33</f>
        <v>0.17</v>
      </c>
      <c r="L110" s="275">
        <f>$L$33</f>
        <v>0.02</v>
      </c>
      <c r="M110" s="266">
        <f>$M$33</f>
        <v>0.34</v>
      </c>
      <c r="N110" s="276">
        <f t="shared" si="33"/>
        <v>0.83000000000000007</v>
      </c>
      <c r="O110" s="277"/>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row>
    <row r="111" spans="1:51" ht="15" x14ac:dyDescent="0.25">
      <c r="B111" s="261" t="str">
        <f>$B$34</f>
        <v>Trap wagon</v>
      </c>
      <c r="C111" s="458"/>
      <c r="D111" s="274">
        <f>$D$34</f>
        <v>0.35</v>
      </c>
      <c r="E111" s="274">
        <f>$E$34</f>
        <v>0.16</v>
      </c>
      <c r="F111" s="274">
        <f>$F$34</f>
        <v>0.26</v>
      </c>
      <c r="G111" s="466">
        <f>$G$34</f>
        <v>0.77</v>
      </c>
      <c r="H111" s="274">
        <f>$H$34</f>
        <v>0.12</v>
      </c>
      <c r="I111" s="274">
        <f>$I$34</f>
        <v>0.03</v>
      </c>
      <c r="J111" s="275">
        <f>$J$34</f>
        <v>0.05</v>
      </c>
      <c r="K111" s="274">
        <f>$K$34</f>
        <v>0.17</v>
      </c>
      <c r="L111" s="275">
        <f>$L$34</f>
        <v>0.02</v>
      </c>
      <c r="M111" s="266">
        <f>$M$34</f>
        <v>0.34</v>
      </c>
      <c r="N111" s="276">
        <f t="shared" si="33"/>
        <v>0.66</v>
      </c>
      <c r="O111" s="277"/>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532"/>
      <c r="AW111" s="532"/>
      <c r="AX111" s="532"/>
      <c r="AY111" s="532"/>
    </row>
    <row r="112" spans="1:51" ht="15" x14ac:dyDescent="0.25">
      <c r="B112" s="261" t="str">
        <f>$B$35</f>
        <v>3/4-ton pick-up</v>
      </c>
      <c r="C112" s="458"/>
      <c r="D112" s="274">
        <f>$D$35</f>
        <v>0.6</v>
      </c>
      <c r="E112" s="274">
        <f>$E$35</f>
        <v>0.42</v>
      </c>
      <c r="F112" s="274">
        <f>$F$35</f>
        <v>0.45</v>
      </c>
      <c r="G112" s="466">
        <f>$G$35</f>
        <v>1.47</v>
      </c>
      <c r="H112" s="274">
        <f>$H$35</f>
        <v>0.17</v>
      </c>
      <c r="I112" s="274">
        <f>$I$35</f>
        <v>0.02</v>
      </c>
      <c r="J112" s="275">
        <f>$J$35</f>
        <v>0.03</v>
      </c>
      <c r="K112" s="274">
        <f>$K$35</f>
        <v>0.11</v>
      </c>
      <c r="L112" s="275">
        <f>$L$35</f>
        <v>0.01</v>
      </c>
      <c r="M112" s="266">
        <f>$M$35</f>
        <v>0.17</v>
      </c>
      <c r="N112" s="276">
        <f t="shared" si="33"/>
        <v>0.47</v>
      </c>
      <c r="O112" s="277"/>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c r="AM112" s="532"/>
      <c r="AN112" s="532"/>
      <c r="AO112" s="532"/>
      <c r="AP112" s="532"/>
      <c r="AQ112" s="532"/>
      <c r="AR112" s="532"/>
      <c r="AS112" s="532"/>
      <c r="AT112" s="532"/>
      <c r="AU112" s="532"/>
      <c r="AV112" s="532"/>
      <c r="AW112" s="532"/>
      <c r="AX112" s="532"/>
      <c r="AY112" s="532"/>
    </row>
    <row r="113" spans="1:51" ht="15" x14ac:dyDescent="0.25">
      <c r="B113" s="261" t="str">
        <f>$B$36</f>
        <v>ATV</v>
      </c>
      <c r="C113" s="458"/>
      <c r="D113" s="274">
        <f>$D$36</f>
        <v>0.25</v>
      </c>
      <c r="E113" s="274">
        <f>$E$36</f>
        <v>0.14000000000000001</v>
      </c>
      <c r="F113" s="274">
        <f>$F$36</f>
        <v>0.03</v>
      </c>
      <c r="G113" s="466">
        <f>$G$36</f>
        <v>0.42000000000000004</v>
      </c>
      <c r="H113" s="274">
        <f>$H$36</f>
        <v>0.05</v>
      </c>
      <c r="I113" s="274">
        <f>$I$36</f>
        <v>0.06</v>
      </c>
      <c r="J113" s="275">
        <f>$J$36</f>
        <v>0.12</v>
      </c>
      <c r="K113" s="274">
        <f>$K$36</f>
        <v>0.42</v>
      </c>
      <c r="L113" s="275">
        <f>$L$36</f>
        <v>0.11</v>
      </c>
      <c r="M113" s="266">
        <f>$M$36</f>
        <v>1.87</v>
      </c>
      <c r="N113" s="276">
        <f t="shared" si="33"/>
        <v>2.4000000000000004</v>
      </c>
      <c r="O113" s="277"/>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2"/>
      <c r="AV113" s="532"/>
      <c r="AW113" s="532"/>
      <c r="AX113" s="532"/>
      <c r="AY113" s="532"/>
    </row>
    <row r="114" spans="1:51" s="154" customFormat="1" ht="13.5" thickBot="1" x14ac:dyDescent="0.25">
      <c r="B114" s="692" t="str">
        <f>$B$37</f>
        <v>Cost $/Acre</v>
      </c>
      <c r="C114" s="693"/>
      <c r="D114" s="237">
        <f t="shared" ref="D114:N114" si="34">SUM(D94:D113)</f>
        <v>10.876300000000001</v>
      </c>
      <c r="E114" s="237">
        <f t="shared" si="34"/>
        <v>9.7690000000000001</v>
      </c>
      <c r="F114" s="237">
        <f t="shared" si="34"/>
        <v>5.9546999999999999</v>
      </c>
      <c r="G114" s="237">
        <f t="shared" si="34"/>
        <v>26.599999999999998</v>
      </c>
      <c r="H114" s="237">
        <f t="shared" si="34"/>
        <v>6.3681000000000001</v>
      </c>
      <c r="I114" s="237">
        <f t="shared" si="34"/>
        <v>1.35</v>
      </c>
      <c r="J114" s="159">
        <f t="shared" si="34"/>
        <v>2.5999999999999992</v>
      </c>
      <c r="K114" s="237">
        <f t="shared" si="34"/>
        <v>8.879999999999999</v>
      </c>
      <c r="L114" s="159">
        <f t="shared" si="34"/>
        <v>0.53</v>
      </c>
      <c r="M114" s="237">
        <f t="shared" si="34"/>
        <v>9.9400000000000013</v>
      </c>
      <c r="N114" s="237">
        <f t="shared" si="34"/>
        <v>26.5381</v>
      </c>
      <c r="O114" s="157">
        <f>SUM(G114,N114)</f>
        <v>53.138099999999994</v>
      </c>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c r="AM114" s="532"/>
      <c r="AN114" s="532"/>
      <c r="AO114" s="532"/>
      <c r="AP114" s="532"/>
      <c r="AQ114" s="532"/>
      <c r="AR114" s="532"/>
      <c r="AS114" s="532"/>
      <c r="AT114" s="532"/>
      <c r="AU114" s="532"/>
      <c r="AV114" s="532"/>
      <c r="AW114" s="532"/>
      <c r="AX114" s="532"/>
      <c r="AY114" s="532"/>
    </row>
    <row r="115" spans="1:51" s="154" customFormat="1" ht="12.75" x14ac:dyDescent="0.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c r="AM115" s="532"/>
      <c r="AN115" s="532"/>
      <c r="AO115" s="532"/>
      <c r="AP115" s="532"/>
      <c r="AQ115" s="532"/>
      <c r="AR115" s="532"/>
      <c r="AS115" s="532"/>
      <c r="AT115" s="532"/>
      <c r="AU115" s="532"/>
      <c r="AV115" s="532"/>
      <c r="AW115" s="532"/>
      <c r="AX115" s="532"/>
      <c r="AY115" s="532"/>
    </row>
    <row r="116" spans="1:51" s="121" customFormat="1" ht="12.75" x14ac:dyDescent="0.2">
      <c r="A116" s="154"/>
      <c r="B116" s="154"/>
      <c r="C116" s="154"/>
      <c r="D116" s="154"/>
      <c r="E116" s="154"/>
      <c r="F116" s="154"/>
      <c r="G116" s="154"/>
      <c r="H116" s="154"/>
      <c r="I116" s="154"/>
      <c r="J116" s="154"/>
      <c r="K116" s="154"/>
      <c r="L116" s="154"/>
      <c r="M116" s="154"/>
      <c r="N116" s="154"/>
      <c r="O116" s="154"/>
      <c r="T116" s="532"/>
      <c r="U116" s="532"/>
      <c r="V116" s="532"/>
      <c r="W116" s="532"/>
      <c r="X116" s="532"/>
      <c r="Y116" s="532"/>
      <c r="Z116" s="532"/>
      <c r="AA116" s="532"/>
      <c r="AB116" s="532"/>
    </row>
    <row r="117" spans="1:51" s="154" customFormat="1" ht="15.75" x14ac:dyDescent="0.25">
      <c r="A117" s="121"/>
      <c r="B117" s="492" t="s">
        <v>414</v>
      </c>
      <c r="C117" s="493"/>
      <c r="D117" s="493"/>
      <c r="E117" s="493"/>
      <c r="F117" s="493"/>
      <c r="G117" s="493"/>
      <c r="H117" s="493"/>
      <c r="I117" s="493"/>
      <c r="J117" s="493"/>
      <c r="K117" s="493"/>
      <c r="L117" s="623" t="s">
        <v>519</v>
      </c>
      <c r="M117" s="493"/>
      <c r="N117" s="493"/>
      <c r="O117" s="494" t="s">
        <v>522</v>
      </c>
      <c r="P117" s="198"/>
      <c r="Q117" s="532"/>
      <c r="R117" s="532"/>
      <c r="S117" s="532"/>
      <c r="T117" s="121"/>
      <c r="U117" s="532"/>
      <c r="V117" s="532"/>
      <c r="W117" s="532"/>
      <c r="X117" s="532"/>
      <c r="Y117" s="532"/>
      <c r="Z117" s="532"/>
      <c r="AA117" s="532"/>
      <c r="AB117" s="532"/>
      <c r="AC117" s="532"/>
      <c r="AD117" s="532"/>
      <c r="AE117" s="532"/>
      <c r="AF117" s="532"/>
      <c r="AG117" s="532"/>
      <c r="AH117" s="532"/>
      <c r="AI117" s="532"/>
      <c r="AJ117" s="532"/>
      <c r="AK117" s="532"/>
      <c r="AL117" s="532"/>
      <c r="AM117" s="532"/>
      <c r="AN117" s="532"/>
      <c r="AO117" s="532"/>
      <c r="AP117" s="532"/>
      <c r="AQ117" s="532"/>
      <c r="AR117" s="532"/>
      <c r="AS117" s="532"/>
      <c r="AT117" s="532"/>
      <c r="AU117" s="532"/>
      <c r="AV117" s="532"/>
      <c r="AW117" s="532"/>
      <c r="AX117" s="532"/>
      <c r="AY117" s="532"/>
    </row>
    <row r="118" spans="1:51" s="154" customFormat="1" ht="15" x14ac:dyDescent="0.25">
      <c r="B118" s="155"/>
      <c r="C118" s="455"/>
      <c r="D118" s="704" t="s">
        <v>173</v>
      </c>
      <c r="E118" s="705"/>
      <c r="F118" s="705"/>
      <c r="G118" s="706"/>
      <c r="H118" s="702" t="str">
        <f>$H$13</f>
        <v>Variable Costs</v>
      </c>
      <c r="I118" s="702" t="e">
        <f>#REF!</f>
        <v>#REF!</v>
      </c>
      <c r="J118" s="702" t="e">
        <f>#REF!</f>
        <v>#REF!</v>
      </c>
      <c r="K118" s="702" t="e">
        <f>#REF!</f>
        <v>#REF!</v>
      </c>
      <c r="L118" s="702" t="e">
        <f>#REF!</f>
        <v>#REF!</v>
      </c>
      <c r="M118" s="702" t="e">
        <f>#REF!</f>
        <v>#REF!</v>
      </c>
      <c r="N118" s="702" t="e">
        <f>#REF!</f>
        <v>#REF!</v>
      </c>
      <c r="O118" s="690" t="str">
        <f>$O$13</f>
        <v>Total Cost ($/Acre)</v>
      </c>
      <c r="P118" s="198" t="s">
        <v>417</v>
      </c>
      <c r="Q118" s="532"/>
      <c r="R118" s="532"/>
      <c r="S118" s="532"/>
      <c r="T118" s="532"/>
      <c r="U118" s="121"/>
      <c r="V118" s="121"/>
      <c r="W118" s="121"/>
      <c r="X118" s="121"/>
      <c r="Y118" s="121"/>
      <c r="Z118" s="121"/>
      <c r="AA118" s="121"/>
      <c r="AB118" s="121"/>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2"/>
      <c r="AY118" s="532"/>
    </row>
    <row r="119" spans="1:51" s="154" customFormat="1" ht="12.75" x14ac:dyDescent="0.2">
      <c r="B119" s="714" t="str">
        <f>$B$14</f>
        <v>Operation</v>
      </c>
      <c r="C119" s="476"/>
      <c r="D119" s="694" t="str">
        <f>$D$14</f>
        <v>Depreciation</v>
      </c>
      <c r="E119" s="694" t="str">
        <f>$E$14</f>
        <v>Interest</v>
      </c>
      <c r="F119" s="694" t="str">
        <f>$F$14</f>
        <v>Taxes, housing, insurance, licenses</v>
      </c>
      <c r="G119" s="690" t="str">
        <f>$G$14</f>
        <v>Total Fixed Costs</v>
      </c>
      <c r="H119" s="694" t="str">
        <f>$H$14</f>
        <v>Repairs</v>
      </c>
      <c r="I119" s="694" t="str">
        <f>$I$14</f>
        <v>Lube Cost</v>
      </c>
      <c r="J119" s="703" t="str">
        <f>$J$14</f>
        <v>Fuel</v>
      </c>
      <c r="K119" s="703">
        <f>K73</f>
        <v>0</v>
      </c>
      <c r="L119" s="703" t="str">
        <f>$L$14</f>
        <v>Labor</v>
      </c>
      <c r="M119" s="703">
        <f>M73</f>
        <v>0</v>
      </c>
      <c r="N119" s="690" t="str">
        <f>$N$14</f>
        <v>Total Variable Costs</v>
      </c>
      <c r="O119" s="713"/>
      <c r="P119" s="590" t="s">
        <v>459</v>
      </c>
      <c r="Q119" s="532"/>
      <c r="R119" s="532"/>
      <c r="S119" s="532"/>
      <c r="T119" s="532"/>
      <c r="U119" s="532"/>
      <c r="V119" s="532"/>
      <c r="W119" s="532"/>
      <c r="X119" s="532"/>
      <c r="Y119" s="532"/>
      <c r="Z119" s="532"/>
      <c r="AA119" s="532"/>
      <c r="AB119" s="532"/>
      <c r="AC119" s="532"/>
      <c r="AD119" s="532"/>
      <c r="AE119" s="532"/>
      <c r="AF119" s="532"/>
      <c r="AG119" s="532"/>
      <c r="AH119" s="532"/>
      <c r="AI119" s="532"/>
      <c r="AJ119" s="532"/>
      <c r="AK119" s="532"/>
      <c r="AL119" s="532"/>
      <c r="AM119" s="532"/>
      <c r="AN119" s="532"/>
      <c r="AO119" s="532"/>
      <c r="AP119" s="532"/>
      <c r="AQ119" s="532"/>
      <c r="AR119" s="532"/>
      <c r="AS119" s="532"/>
      <c r="AT119" s="532"/>
      <c r="AU119" s="532"/>
      <c r="AV119" s="532"/>
      <c r="AW119" s="532"/>
      <c r="AX119" s="532"/>
      <c r="AY119" s="532"/>
    </row>
    <row r="120" spans="1:51" s="154" customFormat="1" ht="39.75" customHeight="1" x14ac:dyDescent="0.2">
      <c r="B120" s="715" t="str">
        <f>B74</f>
        <v>300HP Tractor &amp; 48' spring tooth harrow</v>
      </c>
      <c r="C120" s="475" t="s">
        <v>208</v>
      </c>
      <c r="D120" s="695"/>
      <c r="E120" s="695"/>
      <c r="F120" s="695"/>
      <c r="G120" s="691"/>
      <c r="H120" s="700">
        <f>H74</f>
        <v>0</v>
      </c>
      <c r="I120" s="700">
        <f>I74</f>
        <v>0</v>
      </c>
      <c r="J120" s="474" t="str">
        <f>$J$15</f>
        <v>Fuel Use gal/acre</v>
      </c>
      <c r="K120" s="474" t="str">
        <f>$K$15</f>
        <v>Fuel Cost</v>
      </c>
      <c r="L120" s="474" t="str">
        <f>$L$15</f>
        <v>Labor hrs/acre</v>
      </c>
      <c r="M120" s="474" t="str">
        <f>$M$15</f>
        <v>Labor Cost</v>
      </c>
      <c r="N120" s="691"/>
      <c r="O120" s="691"/>
      <c r="P120" s="532"/>
      <c r="Q120" s="532"/>
      <c r="R120" s="532"/>
      <c r="S120" s="532"/>
      <c r="T120" s="532"/>
      <c r="U120" s="532"/>
      <c r="V120" s="532"/>
      <c r="W120" s="532"/>
      <c r="X120" s="532"/>
      <c r="Y120" s="532"/>
      <c r="Z120" s="532"/>
      <c r="AA120" s="532"/>
      <c r="AB120" s="532"/>
      <c r="AC120" s="532"/>
      <c r="AD120" s="532"/>
      <c r="AE120" s="532"/>
      <c r="AF120" s="532"/>
      <c r="AG120" s="532"/>
      <c r="AH120" s="532"/>
      <c r="AI120" s="532"/>
      <c r="AJ120" s="532"/>
      <c r="AK120" s="532"/>
      <c r="AL120" s="532"/>
      <c r="AM120" s="532"/>
      <c r="AN120" s="532"/>
      <c r="AO120" s="532"/>
      <c r="AP120" s="532"/>
      <c r="AQ120" s="532"/>
      <c r="AR120" s="532"/>
      <c r="AS120" s="532"/>
      <c r="AT120" s="532"/>
      <c r="AU120" s="532"/>
      <c r="AV120" s="532"/>
      <c r="AW120" s="532"/>
      <c r="AX120" s="532"/>
      <c r="AY120" s="532"/>
    </row>
    <row r="121" spans="1:51" s="154" customFormat="1" ht="12.75" x14ac:dyDescent="0.2">
      <c r="B121" s="165" t="str">
        <f>$B$16</f>
        <v>Seasonal operations:</v>
      </c>
      <c r="C121" s="457"/>
      <c r="D121" s="460"/>
      <c r="E121" s="460"/>
      <c r="F121" s="460"/>
      <c r="G121" s="461"/>
      <c r="H121" s="166"/>
      <c r="I121" s="166"/>
      <c r="J121" s="170"/>
      <c r="K121" s="170"/>
      <c r="L121" s="170"/>
      <c r="M121" s="170"/>
      <c r="N121" s="171"/>
      <c r="O121" s="167"/>
      <c r="P121" s="532"/>
      <c r="Q121" s="532"/>
      <c r="R121" s="532"/>
      <c r="S121" s="532"/>
      <c r="T121" s="532"/>
      <c r="U121" s="532"/>
      <c r="V121" s="532"/>
      <c r="W121" s="532"/>
      <c r="X121" s="532"/>
      <c r="Y121" s="532"/>
      <c r="Z121" s="532"/>
      <c r="AA121" s="532"/>
      <c r="AB121" s="532"/>
      <c r="AC121" s="532"/>
      <c r="AD121" s="532"/>
      <c r="AE121" s="532"/>
      <c r="AF121" s="532"/>
      <c r="AG121" s="532"/>
      <c r="AH121" s="532"/>
      <c r="AI121" s="532"/>
      <c r="AJ121" s="532"/>
      <c r="AK121" s="532"/>
      <c r="AL121" s="532"/>
      <c r="AM121" s="532"/>
      <c r="AN121" s="532"/>
      <c r="AO121" s="532"/>
      <c r="AP121" s="532"/>
      <c r="AQ121" s="532"/>
      <c r="AR121" s="532"/>
      <c r="AS121" s="532"/>
      <c r="AT121" s="532"/>
      <c r="AU121" s="532"/>
      <c r="AV121" s="532"/>
      <c r="AW121" s="532"/>
      <c r="AX121" s="532"/>
      <c r="AY121" s="532"/>
    </row>
    <row r="122" spans="1:51" ht="15" x14ac:dyDescent="0.25">
      <c r="A122" s="532"/>
      <c r="B122" s="164" t="str">
        <f>$B$17</f>
        <v>Self-propelled sprayer</v>
      </c>
      <c r="C122" s="459">
        <v>1</v>
      </c>
      <c r="D122" s="173">
        <f>$D$17*$C122</f>
        <v>1.82</v>
      </c>
      <c r="E122" s="173">
        <f>$E$17*$C122</f>
        <v>1.88</v>
      </c>
      <c r="F122" s="173">
        <f>$F$17*$C122</f>
        <v>0.93</v>
      </c>
      <c r="G122" s="464">
        <f>SUM(D122:F122)</f>
        <v>4.63</v>
      </c>
      <c r="H122" s="173">
        <f>$H$17*$C122</f>
        <v>0.44</v>
      </c>
      <c r="I122" s="173">
        <f>$I$17*$C122</f>
        <v>0.02</v>
      </c>
      <c r="J122" s="174">
        <f>$J$17*$C122</f>
        <v>0.04</v>
      </c>
      <c r="K122" s="173">
        <f>$K$17*$C122</f>
        <v>0.14000000000000001</v>
      </c>
      <c r="L122" s="174">
        <f>$L$17*$C122</f>
        <v>0.02</v>
      </c>
      <c r="M122" s="175">
        <f>$M$17*$C122</f>
        <v>0.4</v>
      </c>
      <c r="N122" s="239">
        <f t="shared" ref="N122:N127" si="35">SUM(H122,I122,K122,M122)</f>
        <v>1</v>
      </c>
      <c r="O122" s="176"/>
      <c r="P122" s="532"/>
      <c r="Q122" s="532"/>
      <c r="R122" s="532"/>
      <c r="S122" s="532"/>
      <c r="T122" s="532"/>
      <c r="U122" s="532"/>
      <c r="V122" s="532"/>
      <c r="W122" s="532"/>
      <c r="X122" s="532"/>
      <c r="Y122" s="532"/>
      <c r="Z122" s="532"/>
      <c r="AA122" s="532"/>
      <c r="AB122" s="532"/>
      <c r="AC122" s="532"/>
      <c r="AD122" s="532"/>
      <c r="AE122" s="532"/>
      <c r="AF122" s="532"/>
      <c r="AG122" s="532"/>
      <c r="AH122" s="532"/>
      <c r="AI122" s="532"/>
      <c r="AJ122" s="532"/>
      <c r="AK122" s="532"/>
      <c r="AL122" s="532"/>
      <c r="AM122" s="532"/>
      <c r="AN122" s="532"/>
      <c r="AO122" s="532"/>
      <c r="AP122" s="532"/>
      <c r="AQ122" s="532"/>
      <c r="AR122" s="532"/>
      <c r="AS122" s="532"/>
      <c r="AT122" s="532"/>
      <c r="AU122" s="532"/>
      <c r="AV122" s="532"/>
      <c r="AW122" s="532"/>
      <c r="AX122" s="532"/>
      <c r="AY122" s="532"/>
    </row>
    <row r="123" spans="1:51" ht="15" x14ac:dyDescent="0.25">
      <c r="A123" s="532"/>
      <c r="B123" s="164" t="str">
        <f>$B$18</f>
        <v>300HP Tractor &amp; 90' sprayer</v>
      </c>
      <c r="C123" s="459">
        <v>0</v>
      </c>
      <c r="D123" s="173">
        <f>$D$18*$C123</f>
        <v>0</v>
      </c>
      <c r="E123" s="173">
        <f>$E$18*$C123</f>
        <v>0</v>
      </c>
      <c r="F123" s="173">
        <f>$F$18*$C123</f>
        <v>0</v>
      </c>
      <c r="G123" s="464">
        <f>SUM(D123:F123)</f>
        <v>0</v>
      </c>
      <c r="H123" s="173">
        <f>$H$18*$C123</f>
        <v>0</v>
      </c>
      <c r="I123" s="173">
        <f>$I$18*$C123</f>
        <v>0</v>
      </c>
      <c r="J123" s="174">
        <f>$J$18*$C123</f>
        <v>0</v>
      </c>
      <c r="K123" s="173">
        <f>$K$18*$C123</f>
        <v>0</v>
      </c>
      <c r="L123" s="174">
        <f>$L$18*$C123</f>
        <v>0</v>
      </c>
      <c r="M123" s="175">
        <f>$M$18*$C123</f>
        <v>0</v>
      </c>
      <c r="N123" s="239">
        <f t="shared" si="35"/>
        <v>0</v>
      </c>
      <c r="O123" s="176"/>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c r="AM123" s="532"/>
      <c r="AN123" s="532"/>
      <c r="AO123" s="532"/>
      <c r="AP123" s="532"/>
      <c r="AQ123" s="532"/>
      <c r="AR123" s="532"/>
      <c r="AS123" s="532"/>
      <c r="AT123" s="532"/>
      <c r="AU123" s="532"/>
      <c r="AV123" s="532"/>
      <c r="AW123" s="532"/>
      <c r="AX123" s="532"/>
      <c r="AY123" s="532"/>
    </row>
    <row r="124" spans="1:51" s="154" customFormat="1" ht="15" x14ac:dyDescent="0.25">
      <c r="B124" s="156" t="str">
        <f>$B$19</f>
        <v>300HP Tractor &amp; 48' rodweeder</v>
      </c>
      <c r="C124" s="459">
        <v>2</v>
      </c>
      <c r="D124" s="173">
        <f>$D$19*$C124</f>
        <v>3.36</v>
      </c>
      <c r="E124" s="173">
        <f>$E$19*$C124</f>
        <v>2.2200000000000002</v>
      </c>
      <c r="F124" s="173">
        <f>$F$19*$C124</f>
        <v>0.38</v>
      </c>
      <c r="G124" s="464">
        <f>SUM(D124:F124)</f>
        <v>5.96</v>
      </c>
      <c r="H124" s="173">
        <f>$H$19*$C124</f>
        <v>1.3</v>
      </c>
      <c r="I124" s="173">
        <f>$I$19*$C124</f>
        <v>0.74</v>
      </c>
      <c r="J124" s="174">
        <f>$J$19*$C124</f>
        <v>1.46</v>
      </c>
      <c r="K124" s="173">
        <f>$K$19*$C124</f>
        <v>4.96</v>
      </c>
      <c r="L124" s="174">
        <f>$L$19*$C124</f>
        <v>0.12</v>
      </c>
      <c r="M124" s="175">
        <f>$M$19*$C124</f>
        <v>2.4</v>
      </c>
      <c r="N124" s="239">
        <f t="shared" si="35"/>
        <v>9.4</v>
      </c>
      <c r="O124" s="176"/>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c r="AM124" s="532"/>
      <c r="AN124" s="532"/>
      <c r="AO124" s="532"/>
      <c r="AP124" s="532"/>
      <c r="AQ124" s="532"/>
      <c r="AR124" s="532"/>
      <c r="AS124" s="532"/>
      <c r="AT124" s="532"/>
      <c r="AU124" s="532"/>
      <c r="AV124" s="532"/>
      <c r="AW124" s="532"/>
      <c r="AX124" s="532"/>
      <c r="AY124" s="532"/>
    </row>
    <row r="125" spans="1:51" s="154" customFormat="1" ht="15" x14ac:dyDescent="0.25">
      <c r="B125" s="164" t="str">
        <f>$B$20</f>
        <v>300HP Tractor &amp; 26' shredder</v>
      </c>
      <c r="C125" s="459">
        <v>0</v>
      </c>
      <c r="D125" s="173">
        <f>$D$20*$C125</f>
        <v>0</v>
      </c>
      <c r="E125" s="173">
        <f>$E$20*$C125</f>
        <v>0</v>
      </c>
      <c r="F125" s="173">
        <f>$F$20*$C125</f>
        <v>0</v>
      </c>
      <c r="G125" s="464">
        <f>SUM(D125:F125)</f>
        <v>0</v>
      </c>
      <c r="H125" s="173">
        <f>$H$20*$C125</f>
        <v>0</v>
      </c>
      <c r="I125" s="173">
        <f>$I$20*$C125</f>
        <v>0</v>
      </c>
      <c r="J125" s="174">
        <f>$J$20*$C125</f>
        <v>0</v>
      </c>
      <c r="K125" s="173">
        <f>$K$20*$C125</f>
        <v>0</v>
      </c>
      <c r="L125" s="174">
        <f>$L$20*$C125</f>
        <v>0</v>
      </c>
      <c r="M125" s="175">
        <f>$M$20*$C125</f>
        <v>0</v>
      </c>
      <c r="N125" s="239">
        <f t="shared" si="35"/>
        <v>0</v>
      </c>
      <c r="O125" s="176"/>
      <c r="P125" s="532"/>
      <c r="Q125" s="532"/>
      <c r="R125" s="532"/>
      <c r="S125" s="532"/>
      <c r="T125" s="532"/>
      <c r="U125" s="532"/>
      <c r="V125" s="532"/>
      <c r="W125" s="532"/>
      <c r="X125" s="532"/>
      <c r="Y125" s="532"/>
      <c r="Z125" s="532"/>
      <c r="AA125" s="532"/>
      <c r="AB125" s="532"/>
      <c r="AC125" s="532"/>
      <c r="AD125" s="532"/>
      <c r="AE125" s="532"/>
      <c r="AF125" s="532"/>
      <c r="AG125" s="532"/>
      <c r="AH125" s="532"/>
      <c r="AI125" s="532"/>
      <c r="AJ125" s="532"/>
      <c r="AK125" s="532"/>
      <c r="AL125" s="532"/>
      <c r="AM125" s="532"/>
      <c r="AN125" s="532"/>
      <c r="AO125" s="532"/>
      <c r="AP125" s="532"/>
      <c r="AQ125" s="532"/>
      <c r="AR125" s="532"/>
      <c r="AS125" s="532"/>
      <c r="AT125" s="532"/>
      <c r="AU125" s="532"/>
      <c r="AV125" s="532"/>
      <c r="AW125" s="532"/>
      <c r="AX125" s="532"/>
      <c r="AY125" s="532"/>
    </row>
    <row r="126" spans="1:51" s="154" customFormat="1" ht="15" x14ac:dyDescent="0.25">
      <c r="B126" s="164" t="str">
        <f>$B$21</f>
        <v>300HP Tractor &amp; 34' tandem disk</v>
      </c>
      <c r="C126" s="459">
        <v>0</v>
      </c>
      <c r="D126" s="173">
        <f>$D$21*$C126</f>
        <v>0</v>
      </c>
      <c r="E126" s="173">
        <f>$E$21*$C126</f>
        <v>0</v>
      </c>
      <c r="F126" s="173">
        <f>$F$21*$C126</f>
        <v>0</v>
      </c>
      <c r="G126" s="464">
        <f t="shared" ref="G126:G134" si="36">SUM(D126:F126)</f>
        <v>0</v>
      </c>
      <c r="H126" s="173">
        <f>$H$21*$C126</f>
        <v>0</v>
      </c>
      <c r="I126" s="173">
        <f>$I$21*$C126</f>
        <v>0</v>
      </c>
      <c r="J126" s="174">
        <f>$J$21*$C126</f>
        <v>0</v>
      </c>
      <c r="K126" s="173">
        <f>$K$21*$C126</f>
        <v>0</v>
      </c>
      <c r="L126" s="174">
        <f>$L$21*$C126</f>
        <v>0</v>
      </c>
      <c r="M126" s="175">
        <f>$M$21*$C126</f>
        <v>0</v>
      </c>
      <c r="N126" s="239">
        <f t="shared" si="35"/>
        <v>0</v>
      </c>
      <c r="O126" s="176"/>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row>
    <row r="127" spans="1:51" ht="15" x14ac:dyDescent="0.25">
      <c r="A127" s="532"/>
      <c r="B127" s="164" t="str">
        <f>$B$22</f>
        <v>300HP Tractor &amp; 36' cultiweeder</v>
      </c>
      <c r="C127" s="459">
        <v>1</v>
      </c>
      <c r="D127" s="173">
        <f>$D$22*$C127</f>
        <v>1.42</v>
      </c>
      <c r="E127" s="173">
        <f>$E$22*$C127</f>
        <v>0.92</v>
      </c>
      <c r="F127" s="173">
        <f>$F$22*$C127</f>
        <v>0.15</v>
      </c>
      <c r="G127" s="464">
        <f t="shared" si="36"/>
        <v>2.4899999999999998</v>
      </c>
      <c r="H127" s="173">
        <f>$H$22*$C127</f>
        <v>0.41</v>
      </c>
      <c r="I127" s="173">
        <f>$I$22*$C127</f>
        <v>0.28000000000000003</v>
      </c>
      <c r="J127" s="174">
        <f>$J$22*$C127</f>
        <v>0.55000000000000004</v>
      </c>
      <c r="K127" s="173">
        <f>$K$22*$C127</f>
        <v>1.87</v>
      </c>
      <c r="L127" s="174">
        <f>$L$22*$C127</f>
        <v>0.04</v>
      </c>
      <c r="M127" s="175">
        <f>$M$22*$C127</f>
        <v>0.8</v>
      </c>
      <c r="N127" s="239">
        <f t="shared" si="35"/>
        <v>3.3600000000000003</v>
      </c>
      <c r="O127" s="176"/>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c r="AM127" s="532"/>
      <c r="AN127" s="532"/>
      <c r="AO127" s="532"/>
      <c r="AP127" s="532"/>
      <c r="AQ127" s="532"/>
      <c r="AR127" s="532"/>
      <c r="AS127" s="532"/>
      <c r="AT127" s="532"/>
      <c r="AU127" s="532"/>
      <c r="AV127" s="532"/>
      <c r="AW127" s="532"/>
      <c r="AX127" s="532"/>
      <c r="AY127" s="532"/>
    </row>
    <row r="128" spans="1:51" s="154" customFormat="1" ht="15" x14ac:dyDescent="0.25">
      <c r="B128" s="156" t="str">
        <f>$B$23</f>
        <v>300HP Tractor &amp; 35' chisel plow</v>
      </c>
      <c r="C128" s="459">
        <v>1</v>
      </c>
      <c r="D128" s="173">
        <f>$D$23*$C128</f>
        <v>2.17</v>
      </c>
      <c r="E128" s="173">
        <f>$E$23*$C128</f>
        <v>1.41</v>
      </c>
      <c r="F128" s="173">
        <f>$F$23*$C128</f>
        <v>0.24</v>
      </c>
      <c r="G128" s="464">
        <f t="shared" si="36"/>
        <v>3.8200000000000003</v>
      </c>
      <c r="H128" s="173">
        <f>$H$23*$C128</f>
        <v>0.79</v>
      </c>
      <c r="I128" s="173">
        <f>$I$23*$C128</f>
        <v>0.48</v>
      </c>
      <c r="J128" s="174">
        <f>$J$23*$C128</f>
        <v>0.95</v>
      </c>
      <c r="K128" s="173">
        <f>$K$23*$C128</f>
        <v>3.23</v>
      </c>
      <c r="L128" s="174">
        <f>$L$23*$C128</f>
        <v>0.08</v>
      </c>
      <c r="M128" s="175">
        <f>$M$23*$C128</f>
        <v>1.6</v>
      </c>
      <c r="N128" s="239">
        <f t="shared" ref="N128:N134" si="37">SUM(H128,I128,K128,M128)</f>
        <v>6.1</v>
      </c>
      <c r="O128" s="176"/>
      <c r="P128" s="532"/>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c r="AM128" s="532"/>
      <c r="AN128" s="532"/>
      <c r="AO128" s="532"/>
      <c r="AP128" s="532"/>
      <c r="AQ128" s="532"/>
      <c r="AR128" s="532"/>
      <c r="AS128" s="532"/>
      <c r="AT128" s="532"/>
      <c r="AU128" s="532"/>
      <c r="AV128" s="532"/>
      <c r="AW128" s="532"/>
      <c r="AX128" s="532"/>
      <c r="AY128" s="532"/>
    </row>
    <row r="129" spans="1:51" s="154" customFormat="1" ht="15" x14ac:dyDescent="0.25">
      <c r="B129" s="156" t="str">
        <f>$B$24</f>
        <v>300HP Tractor &amp; 36' cultivator</v>
      </c>
      <c r="C129" s="459">
        <v>0</v>
      </c>
      <c r="D129" s="173">
        <f>$D$24*$C129</f>
        <v>0</v>
      </c>
      <c r="E129" s="173">
        <f>$E$24*$C129</f>
        <v>0</v>
      </c>
      <c r="F129" s="173">
        <f>$F$24*$C129</f>
        <v>0</v>
      </c>
      <c r="G129" s="464">
        <f t="shared" si="36"/>
        <v>0</v>
      </c>
      <c r="H129" s="173">
        <f>$H$24*$C129</f>
        <v>0</v>
      </c>
      <c r="I129" s="173">
        <f>$I$24*$C129</f>
        <v>0</v>
      </c>
      <c r="J129" s="174">
        <f>$J$24*$C129</f>
        <v>0</v>
      </c>
      <c r="K129" s="173">
        <f>$K$24*$C129</f>
        <v>0</v>
      </c>
      <c r="L129" s="174">
        <f>$L$24*$C129</f>
        <v>0</v>
      </c>
      <c r="M129" s="175">
        <f>$M$24*$C129</f>
        <v>0</v>
      </c>
      <c r="N129" s="239">
        <f t="shared" si="37"/>
        <v>0</v>
      </c>
      <c r="O129" s="176"/>
      <c r="P129" s="532"/>
      <c r="Q129" s="532"/>
      <c r="R129" s="532"/>
      <c r="S129" s="532"/>
      <c r="T129" s="532"/>
      <c r="U129" s="532"/>
      <c r="V129" s="532"/>
      <c r="W129" s="532"/>
      <c r="X129" s="532"/>
      <c r="Y129" s="532"/>
      <c r="Z129" s="532"/>
      <c r="AA129" s="532"/>
      <c r="AB129" s="532"/>
      <c r="AC129" s="532"/>
      <c r="AD129" s="532"/>
      <c r="AE129" s="532"/>
      <c r="AF129" s="532"/>
      <c r="AG129" s="532"/>
      <c r="AH129" s="532"/>
      <c r="AI129" s="532"/>
      <c r="AJ129" s="532"/>
      <c r="AK129" s="532"/>
      <c r="AL129" s="532"/>
      <c r="AM129" s="532"/>
      <c r="AN129" s="532"/>
      <c r="AO129" s="532"/>
      <c r="AP129" s="532"/>
      <c r="AQ129" s="532"/>
      <c r="AR129" s="532"/>
      <c r="AS129" s="532"/>
      <c r="AT129" s="532"/>
      <c r="AU129" s="532"/>
      <c r="AV129" s="532"/>
      <c r="AW129" s="532"/>
      <c r="AX129" s="532"/>
      <c r="AY129" s="532"/>
    </row>
    <row r="130" spans="1:51" s="154" customFormat="1" ht="15" x14ac:dyDescent="0.25">
      <c r="B130" s="156" t="str">
        <f>$B$25</f>
        <v>300HP Tractor &amp; 48' spring tooth harrow</v>
      </c>
      <c r="C130" s="459">
        <v>0</v>
      </c>
      <c r="D130" s="173">
        <f>$D$25*$C130</f>
        <v>0</v>
      </c>
      <c r="E130" s="173">
        <f>$E$25*$C130</f>
        <v>0</v>
      </c>
      <c r="F130" s="173">
        <f>$F$25*$C130</f>
        <v>0</v>
      </c>
      <c r="G130" s="464">
        <f t="shared" si="36"/>
        <v>0</v>
      </c>
      <c r="H130" s="173">
        <f>$H$25*$C130</f>
        <v>0</v>
      </c>
      <c r="I130" s="173">
        <f>$I$25*$C130</f>
        <v>0</v>
      </c>
      <c r="J130" s="174">
        <f>$J$25*$C130</f>
        <v>0</v>
      </c>
      <c r="K130" s="173">
        <f>$K$25*$C130</f>
        <v>0</v>
      </c>
      <c r="L130" s="174">
        <f>$L$25*$C130</f>
        <v>0</v>
      </c>
      <c r="M130" s="175">
        <f>$M$25*$C130</f>
        <v>0</v>
      </c>
      <c r="N130" s="239">
        <f t="shared" si="37"/>
        <v>0</v>
      </c>
      <c r="O130" s="176"/>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c r="AM130" s="532"/>
      <c r="AN130" s="532"/>
      <c r="AO130" s="532"/>
      <c r="AP130" s="532"/>
      <c r="AQ130" s="532"/>
      <c r="AR130" s="532"/>
      <c r="AS130" s="532"/>
      <c r="AT130" s="532"/>
      <c r="AU130" s="532"/>
      <c r="AV130" s="532"/>
      <c r="AW130" s="532"/>
      <c r="AX130" s="532"/>
      <c r="AY130" s="532"/>
    </row>
    <row r="131" spans="1:51" s="154" customFormat="1" ht="15" x14ac:dyDescent="0.25">
      <c r="B131" s="156" t="str">
        <f>$B$26</f>
        <v>300HP Tractor &amp; 36' grain drill</v>
      </c>
      <c r="C131" s="459">
        <v>0</v>
      </c>
      <c r="D131" s="173">
        <f>$D$26*$C131</f>
        <v>0</v>
      </c>
      <c r="E131" s="173">
        <f>$E$26*$C131</f>
        <v>0</v>
      </c>
      <c r="F131" s="173">
        <f>$F$26*$C131</f>
        <v>0</v>
      </c>
      <c r="G131" s="464">
        <f t="shared" si="36"/>
        <v>0</v>
      </c>
      <c r="H131" s="173">
        <f>$H$26*$C131</f>
        <v>0</v>
      </c>
      <c r="I131" s="173">
        <f>$I$26*$C131</f>
        <v>0</v>
      </c>
      <c r="J131" s="174">
        <f>$J$26*$C131</f>
        <v>0</v>
      </c>
      <c r="K131" s="173">
        <f>$K$26*$C131</f>
        <v>0</v>
      </c>
      <c r="L131" s="174">
        <f>$L$26*$C131</f>
        <v>0</v>
      </c>
      <c r="M131" s="175">
        <f>$M$26*$C131</f>
        <v>0</v>
      </c>
      <c r="N131" s="239">
        <f t="shared" si="37"/>
        <v>0</v>
      </c>
      <c r="O131" s="176"/>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c r="AM131" s="532"/>
      <c r="AN131" s="532"/>
      <c r="AO131" s="532"/>
      <c r="AP131" s="532"/>
      <c r="AQ131" s="532"/>
      <c r="AR131" s="532"/>
      <c r="AS131" s="532"/>
      <c r="AT131" s="532"/>
      <c r="AU131" s="532"/>
      <c r="AV131" s="532"/>
      <c r="AW131" s="532"/>
      <c r="AX131" s="532"/>
      <c r="AY131" s="532"/>
    </row>
    <row r="132" spans="1:51" s="154" customFormat="1" ht="15" x14ac:dyDescent="0.25">
      <c r="B132" s="168" t="str">
        <f>$B$27</f>
        <v>Combine &amp; 30' header  *4 mph harvest speed*</v>
      </c>
      <c r="C132" s="459">
        <v>0</v>
      </c>
      <c r="D132" s="173">
        <f>$D$27*$C132</f>
        <v>0</v>
      </c>
      <c r="E132" s="173">
        <f>$E$27*$C132</f>
        <v>0</v>
      </c>
      <c r="F132" s="173">
        <f>$F$27*$C132</f>
        <v>0</v>
      </c>
      <c r="G132" s="464">
        <f t="shared" si="36"/>
        <v>0</v>
      </c>
      <c r="H132" s="173">
        <f>$H$27*$C132</f>
        <v>0</v>
      </c>
      <c r="I132" s="173">
        <f>$I$27*$C132</f>
        <v>0</v>
      </c>
      <c r="J132" s="174">
        <f>$J$27*$C132</f>
        <v>0</v>
      </c>
      <c r="K132" s="173">
        <f>$K$27*$C132</f>
        <v>0</v>
      </c>
      <c r="L132" s="174">
        <f>$L$27*$C132</f>
        <v>0</v>
      </c>
      <c r="M132" s="175">
        <f>$M$27*$C132</f>
        <v>0</v>
      </c>
      <c r="N132" s="239">
        <f t="shared" si="37"/>
        <v>0</v>
      </c>
      <c r="O132" s="176"/>
      <c r="P132" s="533"/>
      <c r="Q132" s="532"/>
      <c r="R132" s="532"/>
      <c r="S132" s="532"/>
      <c r="T132" s="532"/>
      <c r="U132" s="532"/>
      <c r="V132" s="532"/>
      <c r="W132" s="532"/>
      <c r="X132" s="532"/>
      <c r="Y132" s="532"/>
      <c r="Z132" s="532"/>
      <c r="AA132" s="532"/>
      <c r="AB132" s="532"/>
      <c r="AC132" s="532"/>
      <c r="AD132" s="532"/>
      <c r="AE132" s="532"/>
      <c r="AF132" s="532"/>
      <c r="AG132" s="532"/>
      <c r="AH132" s="532"/>
      <c r="AI132" s="532"/>
      <c r="AJ132" s="532"/>
      <c r="AK132" s="532"/>
      <c r="AL132" s="532"/>
      <c r="AM132" s="532"/>
      <c r="AN132" s="532"/>
      <c r="AO132" s="532"/>
      <c r="AP132" s="532"/>
      <c r="AQ132" s="532"/>
      <c r="AR132" s="532"/>
      <c r="AS132" s="532"/>
      <c r="AT132" s="532"/>
      <c r="AU132" s="532"/>
      <c r="AV132" s="532"/>
      <c r="AW132" s="532"/>
      <c r="AX132" s="532"/>
      <c r="AY132" s="532"/>
    </row>
    <row r="133" spans="1:51" ht="15" x14ac:dyDescent="0.25">
      <c r="A133" s="532"/>
      <c r="B133" s="168" t="str">
        <f>$B$28</f>
        <v>Combine &amp; 30' header *3 mph harvest speed*</v>
      </c>
      <c r="C133" s="459">
        <v>0</v>
      </c>
      <c r="D133" s="173">
        <f>$D$28*$C133</f>
        <v>0</v>
      </c>
      <c r="E133" s="173">
        <f>$E$28*$C133</f>
        <v>0</v>
      </c>
      <c r="F133" s="173">
        <f>$F$28*$C133</f>
        <v>0</v>
      </c>
      <c r="G133" s="464">
        <f t="shared" si="36"/>
        <v>0</v>
      </c>
      <c r="H133" s="173">
        <f>$H$28*$C133</f>
        <v>0</v>
      </c>
      <c r="I133" s="173">
        <f>$I$28*$C133</f>
        <v>0</v>
      </c>
      <c r="J133" s="174">
        <f>$J$28*$C133</f>
        <v>0</v>
      </c>
      <c r="K133" s="173">
        <f>$K$28*$C133</f>
        <v>0</v>
      </c>
      <c r="L133" s="174">
        <f>$L$28*$C133</f>
        <v>0</v>
      </c>
      <c r="M133" s="175">
        <f>$M$28*$C133</f>
        <v>0</v>
      </c>
      <c r="N133" s="239">
        <f t="shared" si="37"/>
        <v>0</v>
      </c>
      <c r="O133" s="176"/>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c r="AM133" s="532"/>
      <c r="AN133" s="532"/>
      <c r="AO133" s="532"/>
      <c r="AP133" s="532"/>
      <c r="AQ133" s="532"/>
      <c r="AR133" s="532"/>
      <c r="AS133" s="532"/>
      <c r="AT133" s="532"/>
      <c r="AU133" s="532"/>
      <c r="AV133" s="532"/>
      <c r="AW133" s="532"/>
      <c r="AX133" s="532"/>
      <c r="AY133" s="532"/>
    </row>
    <row r="134" spans="1:51" s="154" customFormat="1" ht="15" x14ac:dyDescent="0.25">
      <c r="B134" s="168" t="str">
        <f>$B$29</f>
        <v>300HP Tractor &amp; Bankout wagon</v>
      </c>
      <c r="C134" s="459">
        <v>0</v>
      </c>
      <c r="D134" s="173">
        <f>$D$29*$C134</f>
        <v>0</v>
      </c>
      <c r="E134" s="173">
        <f>$E$29*$C134</f>
        <v>0</v>
      </c>
      <c r="F134" s="173">
        <f>$F$29*$C134</f>
        <v>0</v>
      </c>
      <c r="G134" s="464">
        <f t="shared" si="36"/>
        <v>0</v>
      </c>
      <c r="H134" s="173">
        <f>$H$29*$C134</f>
        <v>0</v>
      </c>
      <c r="I134" s="173">
        <f>$I$29*$C134</f>
        <v>0</v>
      </c>
      <c r="J134" s="174">
        <f>$J$29*$C134</f>
        <v>0</v>
      </c>
      <c r="K134" s="173">
        <f>$K$29*$C134</f>
        <v>0</v>
      </c>
      <c r="L134" s="174">
        <f>$L$29*$C134</f>
        <v>0</v>
      </c>
      <c r="M134" s="175">
        <f>$M$29*$C134</f>
        <v>0</v>
      </c>
      <c r="N134" s="239">
        <f t="shared" si="37"/>
        <v>0</v>
      </c>
      <c r="O134" s="176"/>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c r="AM134" s="532"/>
      <c r="AN134" s="532"/>
      <c r="AO134" s="532"/>
      <c r="AP134" s="532"/>
      <c r="AQ134" s="532"/>
      <c r="AR134" s="532"/>
      <c r="AS134" s="532"/>
      <c r="AT134" s="532"/>
      <c r="AU134" s="532"/>
      <c r="AV134" s="532"/>
      <c r="AW134" s="532"/>
      <c r="AX134" s="532"/>
      <c r="AY134" s="532"/>
    </row>
    <row r="135" spans="1:51" s="154" customFormat="1" ht="15" x14ac:dyDescent="0.25">
      <c r="B135" s="255" t="str">
        <f>$B$30</f>
        <v>Annual Costs:</v>
      </c>
      <c r="C135" s="454"/>
      <c r="D135" s="268"/>
      <c r="E135" s="268"/>
      <c r="F135" s="268"/>
      <c r="G135" s="465"/>
      <c r="H135" s="269"/>
      <c r="I135" s="269"/>
      <c r="J135" s="270"/>
      <c r="K135" s="269"/>
      <c r="L135" s="270"/>
      <c r="M135" s="271"/>
      <c r="N135" s="272"/>
      <c r="O135" s="273"/>
      <c r="P135" s="532"/>
      <c r="Q135" s="532"/>
      <c r="R135" s="532"/>
      <c r="S135" s="532"/>
      <c r="T135" s="532"/>
      <c r="U135" s="532"/>
      <c r="V135" s="532"/>
      <c r="W135" s="532"/>
      <c r="X135" s="532"/>
      <c r="Y135" s="532"/>
      <c r="Z135" s="532"/>
      <c r="AA135" s="532"/>
      <c r="AB135" s="532"/>
      <c r="AC135" s="532"/>
      <c r="AD135" s="532"/>
      <c r="AE135" s="532"/>
      <c r="AF135" s="532"/>
      <c r="AG135" s="532"/>
      <c r="AH135" s="532"/>
      <c r="AI135" s="532"/>
      <c r="AJ135" s="532"/>
      <c r="AK135" s="532"/>
      <c r="AL135" s="532"/>
      <c r="AM135" s="532"/>
      <c r="AN135" s="532"/>
      <c r="AO135" s="532"/>
      <c r="AP135" s="532"/>
      <c r="AQ135" s="532"/>
      <c r="AR135" s="532"/>
      <c r="AS135" s="532"/>
      <c r="AT135" s="532"/>
      <c r="AU135" s="532"/>
      <c r="AV135" s="532"/>
      <c r="AW135" s="532"/>
      <c r="AX135" s="532"/>
      <c r="AY135" s="532"/>
    </row>
    <row r="136" spans="1:51" s="154" customFormat="1" ht="15" x14ac:dyDescent="0.25">
      <c r="B136" s="261" t="str">
        <f>$B$31</f>
        <v>Tandem axle truck</v>
      </c>
      <c r="C136" s="458"/>
      <c r="D136" s="274">
        <f>$D$31</f>
        <v>0.39</v>
      </c>
      <c r="E136" s="274">
        <f>$E$31</f>
        <v>0.44</v>
      </c>
      <c r="F136" s="274">
        <f>$F$31</f>
        <v>0.72</v>
      </c>
      <c r="G136" s="466">
        <f>$G$31</f>
        <v>1.55</v>
      </c>
      <c r="H136" s="274">
        <f>$H$31</f>
        <v>0.56999999999999995</v>
      </c>
      <c r="I136" s="274">
        <f>$I$31</f>
        <v>0.04</v>
      </c>
      <c r="J136" s="275">
        <f>$J$31</f>
        <v>7.0000000000000007E-2</v>
      </c>
      <c r="K136" s="274">
        <f>$K$31</f>
        <v>0.24</v>
      </c>
      <c r="L136" s="275">
        <f>$L$31</f>
        <v>0.03</v>
      </c>
      <c r="M136" s="266">
        <f>$M$31</f>
        <v>0.51</v>
      </c>
      <c r="N136" s="276">
        <f t="shared" ref="N136:N141" si="38">SUM(H136,I136,K136,M136)</f>
        <v>1.3599999999999999</v>
      </c>
      <c r="O136" s="277"/>
      <c r="P136" s="532"/>
      <c r="Q136" s="532"/>
      <c r="R136" s="532"/>
      <c r="S136" s="532"/>
      <c r="T136" s="532"/>
      <c r="U136" s="532"/>
      <c r="V136" s="532"/>
      <c r="W136" s="532"/>
      <c r="X136" s="532"/>
      <c r="Y136" s="532"/>
      <c r="Z136" s="532"/>
      <c r="AA136" s="532"/>
      <c r="AB136" s="532"/>
      <c r="AC136" s="532"/>
      <c r="AD136" s="532"/>
      <c r="AE136" s="532"/>
      <c r="AF136" s="532"/>
      <c r="AG136" s="532"/>
      <c r="AH136" s="532"/>
      <c r="AI136" s="532"/>
      <c r="AJ136" s="532"/>
      <c r="AK136" s="532"/>
      <c r="AL136" s="532"/>
      <c r="AM136" s="532"/>
      <c r="AN136" s="532"/>
      <c r="AO136" s="532"/>
      <c r="AP136" s="532"/>
      <c r="AQ136" s="532"/>
      <c r="AR136" s="532"/>
      <c r="AS136" s="532"/>
      <c r="AT136" s="532"/>
      <c r="AU136" s="532"/>
      <c r="AV136" s="532"/>
      <c r="AW136" s="532"/>
      <c r="AX136" s="532"/>
      <c r="AY136" s="532"/>
    </row>
    <row r="137" spans="1:51" s="154" customFormat="1" ht="15" x14ac:dyDescent="0.25">
      <c r="B137" s="261" t="str">
        <f>$B$32</f>
        <v>Tandem axle truck</v>
      </c>
      <c r="C137" s="458"/>
      <c r="D137" s="274">
        <f>$D$32</f>
        <v>0.39</v>
      </c>
      <c r="E137" s="274">
        <f>$E$32</f>
        <v>0.44</v>
      </c>
      <c r="F137" s="274">
        <f>$F$32</f>
        <v>0.72</v>
      </c>
      <c r="G137" s="466">
        <f>$G$32</f>
        <v>1.55</v>
      </c>
      <c r="H137" s="274">
        <f>$H$32</f>
        <v>0.56999999999999995</v>
      </c>
      <c r="I137" s="274">
        <f>$I$32</f>
        <v>0.04</v>
      </c>
      <c r="J137" s="275">
        <f>$J$32</f>
        <v>7.0000000000000007E-2</v>
      </c>
      <c r="K137" s="274">
        <f>$K$32</f>
        <v>0.24</v>
      </c>
      <c r="L137" s="275">
        <f>$L$32</f>
        <v>0.03</v>
      </c>
      <c r="M137" s="266">
        <f>$M$32</f>
        <v>0.51</v>
      </c>
      <c r="N137" s="276">
        <f t="shared" si="38"/>
        <v>1.3599999999999999</v>
      </c>
      <c r="O137" s="277"/>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row>
    <row r="138" spans="1:51" s="154" customFormat="1" ht="15" x14ac:dyDescent="0.25">
      <c r="B138" s="261" t="str">
        <f>$B$33</f>
        <v>2-ton truck</v>
      </c>
      <c r="C138" s="458"/>
      <c r="D138" s="274">
        <f>$D$33</f>
        <v>0.32</v>
      </c>
      <c r="E138" s="274">
        <f>$E$33</f>
        <v>0.26</v>
      </c>
      <c r="F138" s="274">
        <f>$F$33</f>
        <v>0.42</v>
      </c>
      <c r="G138" s="466">
        <f>$G$33</f>
        <v>1</v>
      </c>
      <c r="H138" s="274">
        <f>$H$33</f>
        <v>0.28999999999999998</v>
      </c>
      <c r="I138" s="274">
        <f>$I$33</f>
        <v>0.03</v>
      </c>
      <c r="J138" s="275">
        <f>$J$33</f>
        <v>0.05</v>
      </c>
      <c r="K138" s="274">
        <f>$K$33</f>
        <v>0.17</v>
      </c>
      <c r="L138" s="275">
        <f>$L$33</f>
        <v>0.02</v>
      </c>
      <c r="M138" s="266">
        <f>$M$33</f>
        <v>0.34</v>
      </c>
      <c r="N138" s="276">
        <f t="shared" si="38"/>
        <v>0.83000000000000007</v>
      </c>
      <c r="O138" s="277"/>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row>
    <row r="139" spans="1:51" s="154" customFormat="1" ht="15" x14ac:dyDescent="0.25">
      <c r="B139" s="261" t="str">
        <f>$B$34</f>
        <v>Trap wagon</v>
      </c>
      <c r="C139" s="458"/>
      <c r="D139" s="274">
        <f>$D$34</f>
        <v>0.35</v>
      </c>
      <c r="E139" s="274">
        <f>$E$34</f>
        <v>0.16</v>
      </c>
      <c r="F139" s="274">
        <f>$F$34</f>
        <v>0.26</v>
      </c>
      <c r="G139" s="466">
        <f>$G$34</f>
        <v>0.77</v>
      </c>
      <c r="H139" s="274">
        <f>$H$34</f>
        <v>0.12</v>
      </c>
      <c r="I139" s="274">
        <f>$I$34</f>
        <v>0.03</v>
      </c>
      <c r="J139" s="275">
        <f>$J$34</f>
        <v>0.05</v>
      </c>
      <c r="K139" s="274">
        <f>$K$34</f>
        <v>0.17</v>
      </c>
      <c r="L139" s="275">
        <f>$L$34</f>
        <v>0.02</v>
      </c>
      <c r="M139" s="266">
        <f>$M$34</f>
        <v>0.34</v>
      </c>
      <c r="N139" s="276">
        <f t="shared" si="38"/>
        <v>0.66</v>
      </c>
      <c r="O139" s="277"/>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c r="AM139" s="532"/>
      <c r="AN139" s="532"/>
      <c r="AO139" s="532"/>
      <c r="AP139" s="532"/>
      <c r="AQ139" s="532"/>
      <c r="AR139" s="532"/>
      <c r="AS139" s="532"/>
      <c r="AT139" s="532"/>
      <c r="AU139" s="532"/>
      <c r="AV139" s="532"/>
      <c r="AW139" s="532"/>
      <c r="AX139" s="532"/>
      <c r="AY139" s="532"/>
    </row>
    <row r="140" spans="1:51" s="154" customFormat="1" ht="15" x14ac:dyDescent="0.25">
      <c r="B140" s="261" t="str">
        <f>$B$35</f>
        <v>3/4-ton pick-up</v>
      </c>
      <c r="C140" s="458"/>
      <c r="D140" s="274">
        <f>$D$35</f>
        <v>0.6</v>
      </c>
      <c r="E140" s="274">
        <f>$E$35</f>
        <v>0.42</v>
      </c>
      <c r="F140" s="274">
        <f>$F$35</f>
        <v>0.45</v>
      </c>
      <c r="G140" s="466">
        <f>$G$35</f>
        <v>1.47</v>
      </c>
      <c r="H140" s="274">
        <f>$H$35</f>
        <v>0.17</v>
      </c>
      <c r="I140" s="274">
        <f>$I$35</f>
        <v>0.02</v>
      </c>
      <c r="J140" s="275">
        <f>$J$35</f>
        <v>0.03</v>
      </c>
      <c r="K140" s="274">
        <f>$K$35</f>
        <v>0.11</v>
      </c>
      <c r="L140" s="275">
        <f>$L$35</f>
        <v>0.01</v>
      </c>
      <c r="M140" s="266">
        <f>$M$35</f>
        <v>0.17</v>
      </c>
      <c r="N140" s="276">
        <f t="shared" si="38"/>
        <v>0.47</v>
      </c>
      <c r="O140" s="277"/>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c r="AM140" s="532"/>
      <c r="AN140" s="532"/>
      <c r="AO140" s="532"/>
      <c r="AP140" s="532"/>
      <c r="AQ140" s="532"/>
      <c r="AR140" s="532"/>
      <c r="AS140" s="532"/>
      <c r="AT140" s="532"/>
      <c r="AU140" s="532"/>
      <c r="AV140" s="532"/>
      <c r="AW140" s="532"/>
      <c r="AX140" s="532"/>
      <c r="AY140" s="532"/>
    </row>
    <row r="141" spans="1:51" s="154" customFormat="1" ht="15" x14ac:dyDescent="0.25">
      <c r="B141" s="261" t="str">
        <f>$B$36</f>
        <v>ATV</v>
      </c>
      <c r="C141" s="458"/>
      <c r="D141" s="274">
        <f>$D$36</f>
        <v>0.25</v>
      </c>
      <c r="E141" s="274">
        <f>$E$36</f>
        <v>0.14000000000000001</v>
      </c>
      <c r="F141" s="274">
        <f>$F$36</f>
        <v>0.03</v>
      </c>
      <c r="G141" s="466">
        <f>$G$36</f>
        <v>0.42000000000000004</v>
      </c>
      <c r="H141" s="274">
        <f>$H$36</f>
        <v>0.05</v>
      </c>
      <c r="I141" s="274">
        <f>$I$36</f>
        <v>0.06</v>
      </c>
      <c r="J141" s="275">
        <f>$J$36</f>
        <v>0.12</v>
      </c>
      <c r="K141" s="274">
        <f>$K$36</f>
        <v>0.42</v>
      </c>
      <c r="L141" s="275">
        <f>$L$36</f>
        <v>0.11</v>
      </c>
      <c r="M141" s="266">
        <f>$M$36</f>
        <v>1.87</v>
      </c>
      <c r="N141" s="276">
        <f t="shared" si="38"/>
        <v>2.4000000000000004</v>
      </c>
      <c r="O141" s="277"/>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c r="AM141" s="532"/>
      <c r="AN141" s="532"/>
      <c r="AO141" s="532"/>
      <c r="AP141" s="532"/>
      <c r="AQ141" s="532"/>
      <c r="AR141" s="532"/>
      <c r="AS141" s="532"/>
      <c r="AT141" s="532"/>
      <c r="AU141" s="532"/>
      <c r="AV141" s="532"/>
      <c r="AW141" s="532"/>
      <c r="AX141" s="532"/>
      <c r="AY141" s="532"/>
    </row>
    <row r="142" spans="1:51" s="154" customFormat="1" ht="13.5" thickBot="1" x14ac:dyDescent="0.25">
      <c r="B142" s="692" t="str">
        <f>$B$37</f>
        <v>Cost $/Acre</v>
      </c>
      <c r="C142" s="693"/>
      <c r="D142" s="237">
        <f t="shared" ref="D142:N142" si="39">SUM(D122:D141)</f>
        <v>11.07</v>
      </c>
      <c r="E142" s="237">
        <f t="shared" si="39"/>
        <v>8.2900000000000009</v>
      </c>
      <c r="F142" s="237">
        <f t="shared" si="39"/>
        <v>4.3</v>
      </c>
      <c r="G142" s="237">
        <f t="shared" si="39"/>
        <v>23.66</v>
      </c>
      <c r="H142" s="237">
        <f t="shared" si="39"/>
        <v>4.71</v>
      </c>
      <c r="I142" s="237">
        <f t="shared" si="39"/>
        <v>1.7400000000000002</v>
      </c>
      <c r="J142" s="159">
        <f t="shared" si="39"/>
        <v>3.3899999999999992</v>
      </c>
      <c r="K142" s="237">
        <f t="shared" si="39"/>
        <v>11.549999999999999</v>
      </c>
      <c r="L142" s="159">
        <f t="shared" si="39"/>
        <v>0.48000000000000009</v>
      </c>
      <c r="M142" s="237">
        <f t="shared" si="39"/>
        <v>8.9399999999999977</v>
      </c>
      <c r="N142" s="237">
        <f t="shared" si="39"/>
        <v>26.939999999999998</v>
      </c>
      <c r="O142" s="157">
        <f>SUM(G142,N142)</f>
        <v>50.599999999999994</v>
      </c>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c r="AM142" s="532"/>
      <c r="AN142" s="532"/>
      <c r="AO142" s="532"/>
      <c r="AP142" s="532"/>
      <c r="AQ142" s="532"/>
      <c r="AR142" s="532"/>
      <c r="AS142" s="532"/>
      <c r="AT142" s="532"/>
      <c r="AU142" s="532"/>
      <c r="AV142" s="532"/>
      <c r="AW142" s="532"/>
      <c r="AX142" s="532"/>
      <c r="AY142" s="532"/>
    </row>
    <row r="143" spans="1:51" s="154" customFormat="1" ht="12.75" x14ac:dyDescent="0.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c r="AM143" s="532"/>
      <c r="AN143" s="532"/>
      <c r="AO143" s="532"/>
      <c r="AP143" s="532"/>
      <c r="AQ143" s="532"/>
      <c r="AR143" s="532"/>
      <c r="AS143" s="532"/>
      <c r="AT143" s="532"/>
      <c r="AU143" s="532"/>
      <c r="AV143" s="532"/>
      <c r="AW143" s="532"/>
      <c r="AX143" s="532"/>
      <c r="AY143" s="532"/>
    </row>
    <row r="144" spans="1:51" s="121" customFormat="1" ht="12.75" x14ac:dyDescent="0.2">
      <c r="A144" s="154"/>
      <c r="B144" s="154"/>
      <c r="C144" s="154"/>
      <c r="D144" s="154"/>
      <c r="E144" s="154"/>
      <c r="F144" s="154"/>
      <c r="G144" s="154"/>
      <c r="H144" s="154"/>
      <c r="I144" s="154"/>
      <c r="J144" s="154"/>
      <c r="K144" s="154"/>
      <c r="L144" s="154"/>
      <c r="M144" s="154"/>
      <c r="N144" s="154"/>
      <c r="O144" s="154"/>
      <c r="T144" s="532"/>
      <c r="U144" s="532"/>
      <c r="V144" s="532"/>
      <c r="W144" s="532"/>
      <c r="X144" s="532"/>
      <c r="Y144" s="532"/>
      <c r="Z144" s="532"/>
      <c r="AA144" s="532"/>
      <c r="AB144" s="532"/>
    </row>
    <row r="145" spans="1:51" s="154" customFormat="1" ht="15.75" x14ac:dyDescent="0.25">
      <c r="A145" s="121"/>
      <c r="B145" s="492" t="s">
        <v>317</v>
      </c>
      <c r="C145" s="493"/>
      <c r="D145" s="493"/>
      <c r="E145" s="493"/>
      <c r="F145" s="493"/>
      <c r="G145" s="493"/>
      <c r="H145" s="493"/>
      <c r="I145" s="493"/>
      <c r="J145" s="493"/>
      <c r="K145" s="493"/>
      <c r="L145" s="623" t="s">
        <v>519</v>
      </c>
      <c r="M145" s="493"/>
      <c r="N145" s="493"/>
      <c r="O145" s="494" t="s">
        <v>523</v>
      </c>
      <c r="P145" s="198"/>
      <c r="Q145" s="532"/>
      <c r="R145" s="532"/>
      <c r="S145" s="532"/>
      <c r="T145" s="121"/>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row>
    <row r="146" spans="1:51" s="154" customFormat="1" ht="15" x14ac:dyDescent="0.25">
      <c r="B146" s="155"/>
      <c r="C146" s="455"/>
      <c r="D146" s="704" t="s">
        <v>173</v>
      </c>
      <c r="E146" s="705"/>
      <c r="F146" s="705"/>
      <c r="G146" s="706"/>
      <c r="H146" s="702" t="str">
        <f>$H$13</f>
        <v>Variable Costs</v>
      </c>
      <c r="I146" s="702" t="e">
        <f>#REF!</f>
        <v>#REF!</v>
      </c>
      <c r="J146" s="702" t="e">
        <f>#REF!</f>
        <v>#REF!</v>
      </c>
      <c r="K146" s="702" t="e">
        <f>#REF!</f>
        <v>#REF!</v>
      </c>
      <c r="L146" s="702" t="e">
        <f>#REF!</f>
        <v>#REF!</v>
      </c>
      <c r="M146" s="702" t="e">
        <f>#REF!</f>
        <v>#REF!</v>
      </c>
      <c r="N146" s="702" t="e">
        <f>#REF!</f>
        <v>#REF!</v>
      </c>
      <c r="O146" s="690" t="str">
        <f>$O$13</f>
        <v>Total Cost ($/Acre)</v>
      </c>
      <c r="P146" s="198" t="s">
        <v>417</v>
      </c>
      <c r="Q146" s="532"/>
      <c r="R146" s="532"/>
      <c r="S146" s="532"/>
      <c r="T146" s="532"/>
      <c r="U146" s="121"/>
      <c r="V146" s="121"/>
      <c r="W146" s="121"/>
      <c r="X146" s="121"/>
      <c r="Y146" s="121"/>
      <c r="Z146" s="121"/>
      <c r="AA146" s="121"/>
      <c r="AB146" s="121"/>
      <c r="AC146" s="532"/>
      <c r="AD146" s="532"/>
      <c r="AE146" s="532"/>
      <c r="AF146" s="532"/>
      <c r="AG146" s="532"/>
      <c r="AH146" s="532"/>
      <c r="AI146" s="532"/>
      <c r="AJ146" s="532"/>
      <c r="AK146" s="532"/>
      <c r="AL146" s="532"/>
      <c r="AM146" s="532"/>
      <c r="AN146" s="532"/>
      <c r="AO146" s="532"/>
      <c r="AP146" s="532"/>
      <c r="AQ146" s="532"/>
      <c r="AR146" s="532"/>
      <c r="AS146" s="532"/>
      <c r="AT146" s="532"/>
      <c r="AU146" s="532"/>
      <c r="AV146" s="532"/>
      <c r="AW146" s="532"/>
      <c r="AX146" s="532"/>
      <c r="AY146" s="532"/>
    </row>
    <row r="147" spans="1:51" s="154" customFormat="1" ht="12.75" x14ac:dyDescent="0.2">
      <c r="B147" s="714" t="str">
        <f>$B$14</f>
        <v>Operation</v>
      </c>
      <c r="C147" s="476"/>
      <c r="D147" s="694" t="str">
        <f>$D$14</f>
        <v>Depreciation</v>
      </c>
      <c r="E147" s="694" t="str">
        <f>$E$14</f>
        <v>Interest</v>
      </c>
      <c r="F147" s="694" t="str">
        <f>$F$14</f>
        <v>Taxes, housing, insurance, licenses</v>
      </c>
      <c r="G147" s="690" t="str">
        <f>$G$14</f>
        <v>Total Fixed Costs</v>
      </c>
      <c r="H147" s="694" t="str">
        <f>$H$14</f>
        <v>Repairs</v>
      </c>
      <c r="I147" s="694" t="str">
        <f>$I$14</f>
        <v>Lube Cost</v>
      </c>
      <c r="J147" s="703" t="str">
        <f>$J$14</f>
        <v>Fuel</v>
      </c>
      <c r="K147" s="703">
        <f>K101</f>
        <v>0</v>
      </c>
      <c r="L147" s="703" t="str">
        <f>$L$14</f>
        <v>Labor</v>
      </c>
      <c r="M147" s="703">
        <f>M101</f>
        <v>0</v>
      </c>
      <c r="N147" s="690" t="str">
        <f>$N$14</f>
        <v>Total Variable Costs</v>
      </c>
      <c r="O147" s="713"/>
      <c r="P147" s="590" t="s">
        <v>459</v>
      </c>
      <c r="Q147" s="532"/>
      <c r="R147" s="532"/>
      <c r="S147" s="532"/>
      <c r="T147" s="532"/>
      <c r="U147" s="532"/>
      <c r="V147" s="532"/>
      <c r="W147" s="532"/>
      <c r="X147" s="532"/>
      <c r="Y147" s="532"/>
      <c r="Z147" s="532"/>
      <c r="AA147" s="532"/>
      <c r="AB147" s="532"/>
      <c r="AC147" s="532"/>
      <c r="AD147" s="532"/>
      <c r="AE147" s="532"/>
      <c r="AF147" s="532"/>
      <c r="AG147" s="532"/>
      <c r="AH147" s="532"/>
      <c r="AI147" s="532"/>
      <c r="AJ147" s="532"/>
      <c r="AK147" s="532"/>
      <c r="AL147" s="532"/>
      <c r="AM147" s="532"/>
      <c r="AN147" s="532"/>
      <c r="AO147" s="532"/>
      <c r="AP147" s="532"/>
      <c r="AQ147" s="532"/>
      <c r="AR147" s="532"/>
      <c r="AS147" s="532"/>
      <c r="AT147" s="532"/>
      <c r="AU147" s="532"/>
      <c r="AV147" s="532"/>
      <c r="AW147" s="532"/>
      <c r="AX147" s="532"/>
      <c r="AY147" s="532"/>
    </row>
    <row r="148" spans="1:51" s="154" customFormat="1" ht="39.75" customHeight="1" x14ac:dyDescent="0.2">
      <c r="B148" s="715" t="str">
        <f>B102</f>
        <v>300HP Tractor &amp; 48' spring tooth harrow</v>
      </c>
      <c r="C148" s="475" t="s">
        <v>208</v>
      </c>
      <c r="D148" s="695"/>
      <c r="E148" s="695"/>
      <c r="F148" s="695"/>
      <c r="G148" s="691"/>
      <c r="H148" s="700">
        <f>H102</f>
        <v>0</v>
      </c>
      <c r="I148" s="700">
        <f>I102</f>
        <v>0</v>
      </c>
      <c r="J148" s="474" t="str">
        <f>$J$15</f>
        <v>Fuel Use gal/acre</v>
      </c>
      <c r="K148" s="474" t="str">
        <f>$K$15</f>
        <v>Fuel Cost</v>
      </c>
      <c r="L148" s="474" t="str">
        <f>$L$15</f>
        <v>Labor hrs/acre</v>
      </c>
      <c r="M148" s="474" t="str">
        <f>$M$15</f>
        <v>Labor Cost</v>
      </c>
      <c r="N148" s="691"/>
      <c r="O148" s="691"/>
      <c r="P148" s="532"/>
      <c r="Q148" s="532"/>
      <c r="R148" s="532"/>
      <c r="S148" s="532"/>
      <c r="T148" s="532"/>
      <c r="U148" s="532"/>
      <c r="V148" s="532"/>
      <c r="W148" s="532"/>
      <c r="X148" s="532"/>
      <c r="Y148" s="532"/>
      <c r="Z148" s="532"/>
      <c r="AA148" s="532"/>
      <c r="AB148" s="532"/>
      <c r="AC148" s="532"/>
      <c r="AD148" s="532"/>
      <c r="AE148" s="532"/>
      <c r="AF148" s="532"/>
      <c r="AG148" s="532"/>
      <c r="AH148" s="532"/>
      <c r="AI148" s="532"/>
      <c r="AJ148" s="532"/>
      <c r="AK148" s="532"/>
      <c r="AL148" s="532"/>
      <c r="AM148" s="532"/>
      <c r="AN148" s="532"/>
      <c r="AO148" s="532"/>
      <c r="AP148" s="532"/>
      <c r="AQ148" s="532"/>
      <c r="AR148" s="532"/>
      <c r="AS148" s="532"/>
      <c r="AT148" s="532"/>
      <c r="AU148" s="532"/>
      <c r="AV148" s="532"/>
      <c r="AW148" s="532"/>
      <c r="AX148" s="532"/>
      <c r="AY148" s="532"/>
    </row>
    <row r="149" spans="1:51" s="154" customFormat="1" ht="12.75" x14ac:dyDescent="0.2">
      <c r="B149" s="165" t="str">
        <f>$B$16</f>
        <v>Seasonal operations:</v>
      </c>
      <c r="C149" s="457"/>
      <c r="D149" s="460"/>
      <c r="E149" s="460"/>
      <c r="F149" s="460"/>
      <c r="G149" s="461"/>
      <c r="H149" s="166"/>
      <c r="I149" s="166"/>
      <c r="J149" s="170"/>
      <c r="K149" s="170"/>
      <c r="L149" s="170"/>
      <c r="M149" s="170"/>
      <c r="N149" s="171"/>
      <c r="O149" s="167"/>
      <c r="P149" s="532"/>
      <c r="Q149" s="532"/>
      <c r="R149" s="532"/>
      <c r="S149" s="532"/>
      <c r="T149" s="532"/>
      <c r="U149" s="532"/>
      <c r="V149" s="532"/>
      <c r="W149" s="532"/>
      <c r="X149" s="532"/>
      <c r="Y149" s="532"/>
      <c r="Z149" s="532"/>
      <c r="AA149" s="532"/>
      <c r="AB149" s="532"/>
      <c r="AC149" s="532"/>
      <c r="AD149" s="532"/>
      <c r="AE149" s="532"/>
      <c r="AF149" s="532"/>
      <c r="AG149" s="532"/>
      <c r="AH149" s="532"/>
      <c r="AI149" s="532"/>
      <c r="AJ149" s="532"/>
      <c r="AK149" s="532"/>
      <c r="AL149" s="532"/>
      <c r="AM149" s="532"/>
      <c r="AN149" s="532"/>
      <c r="AO149" s="532"/>
      <c r="AP149" s="532"/>
      <c r="AQ149" s="532"/>
      <c r="AR149" s="532"/>
      <c r="AS149" s="532"/>
      <c r="AT149" s="532"/>
      <c r="AU149" s="532"/>
      <c r="AV149" s="532"/>
      <c r="AW149" s="532"/>
      <c r="AX149" s="532"/>
      <c r="AY149" s="532"/>
    </row>
    <row r="150" spans="1:51" ht="15" x14ac:dyDescent="0.25">
      <c r="A150" s="532"/>
      <c r="B150" s="164" t="str">
        <f>$B$17</f>
        <v>Self-propelled sprayer</v>
      </c>
      <c r="C150" s="459">
        <v>2</v>
      </c>
      <c r="D150" s="173">
        <f>$D$17*$C150</f>
        <v>3.64</v>
      </c>
      <c r="E150" s="173">
        <f>$E$17*$C150</f>
        <v>3.76</v>
      </c>
      <c r="F150" s="173">
        <f>$F$17*$C150</f>
        <v>1.86</v>
      </c>
      <c r="G150" s="464">
        <f>SUM(D150:F150)</f>
        <v>9.26</v>
      </c>
      <c r="H150" s="173">
        <f>$H$17*$C150</f>
        <v>0.88</v>
      </c>
      <c r="I150" s="173">
        <f>$I$17*$C150</f>
        <v>0.04</v>
      </c>
      <c r="J150" s="174">
        <f>$J$17*$C150</f>
        <v>0.08</v>
      </c>
      <c r="K150" s="173">
        <f>$K$17*$C150</f>
        <v>0.28000000000000003</v>
      </c>
      <c r="L150" s="174">
        <f>$L$17*$C150</f>
        <v>0.04</v>
      </c>
      <c r="M150" s="175">
        <f>$M$17*$C150</f>
        <v>0.8</v>
      </c>
      <c r="N150" s="239">
        <f t="shared" ref="N150:N155" si="40">SUM(H150,I150,K150,M150)</f>
        <v>2</v>
      </c>
      <c r="O150" s="176"/>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c r="AM150" s="532"/>
      <c r="AN150" s="532"/>
      <c r="AO150" s="532"/>
      <c r="AP150" s="532"/>
      <c r="AQ150" s="532"/>
      <c r="AR150" s="532"/>
      <c r="AS150" s="532"/>
      <c r="AT150" s="532"/>
      <c r="AU150" s="532"/>
      <c r="AV150" s="532"/>
      <c r="AW150" s="532"/>
      <c r="AX150" s="532"/>
      <c r="AY150" s="532"/>
    </row>
    <row r="151" spans="1:51" ht="15" x14ac:dyDescent="0.25">
      <c r="A151" s="532"/>
      <c r="B151" s="164" t="str">
        <f>$B$18</f>
        <v>300HP Tractor &amp; 90' sprayer</v>
      </c>
      <c r="C151" s="459">
        <v>0</v>
      </c>
      <c r="D151" s="173">
        <f>$D$18*$C151</f>
        <v>0</v>
      </c>
      <c r="E151" s="173">
        <f>$E$18*$C151</f>
        <v>0</v>
      </c>
      <c r="F151" s="173">
        <f>$F$18*$C151</f>
        <v>0</v>
      </c>
      <c r="G151" s="464">
        <f>SUM(D151:F151)</f>
        <v>0</v>
      </c>
      <c r="H151" s="173">
        <f>$H$18*$C151</f>
        <v>0</v>
      </c>
      <c r="I151" s="173">
        <f>$I$18*$C151</f>
        <v>0</v>
      </c>
      <c r="J151" s="174">
        <f>$J$18*$C151</f>
        <v>0</v>
      </c>
      <c r="K151" s="173">
        <f>$K$18*$C151</f>
        <v>0</v>
      </c>
      <c r="L151" s="174">
        <f>$L$18*$C151</f>
        <v>0</v>
      </c>
      <c r="M151" s="175">
        <f>$M$18*$C151</f>
        <v>0</v>
      </c>
      <c r="N151" s="239">
        <f t="shared" si="40"/>
        <v>0</v>
      </c>
      <c r="O151" s="176"/>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532"/>
      <c r="AW151" s="532"/>
      <c r="AX151" s="532"/>
      <c r="AY151" s="532"/>
    </row>
    <row r="152" spans="1:51" s="154" customFormat="1" ht="15" x14ac:dyDescent="0.25">
      <c r="B152" s="164" t="str">
        <f>$B$20</f>
        <v>300HP Tractor &amp; 26' shredder</v>
      </c>
      <c r="C152" s="459">
        <v>0</v>
      </c>
      <c r="D152" s="173">
        <f>$D$20*$C152</f>
        <v>0</v>
      </c>
      <c r="E152" s="173">
        <f>$E$20*$C152</f>
        <v>0</v>
      </c>
      <c r="F152" s="173">
        <f>$F$20*$C152</f>
        <v>0</v>
      </c>
      <c r="G152" s="464">
        <f>SUM(D152:F152)</f>
        <v>0</v>
      </c>
      <c r="H152" s="173">
        <f>$H$20*$C152</f>
        <v>0</v>
      </c>
      <c r="I152" s="173">
        <f>$I$20*$C152</f>
        <v>0</v>
      </c>
      <c r="J152" s="174">
        <f>$J$20*$C152</f>
        <v>0</v>
      </c>
      <c r="K152" s="173">
        <f>$K$20*$C152</f>
        <v>0</v>
      </c>
      <c r="L152" s="174">
        <f>$L$20*$C152</f>
        <v>0</v>
      </c>
      <c r="M152" s="175">
        <f>$M$20*$C152</f>
        <v>0</v>
      </c>
      <c r="N152" s="239">
        <f t="shared" si="40"/>
        <v>0</v>
      </c>
      <c r="O152" s="176"/>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32"/>
      <c r="AO152" s="532"/>
      <c r="AP152" s="532"/>
      <c r="AQ152" s="532"/>
      <c r="AR152" s="532"/>
      <c r="AS152" s="532"/>
      <c r="AT152" s="532"/>
      <c r="AU152" s="532"/>
      <c r="AV152" s="532"/>
      <c r="AW152" s="532"/>
      <c r="AX152" s="532"/>
      <c r="AY152" s="532"/>
    </row>
    <row r="153" spans="1:51" s="154" customFormat="1" ht="15" x14ac:dyDescent="0.25">
      <c r="B153" s="156" t="str">
        <f>$B$19</f>
        <v>300HP Tractor &amp; 48' rodweeder</v>
      </c>
      <c r="C153" s="459">
        <v>0</v>
      </c>
      <c r="D153" s="173">
        <f>$D$19*$C153</f>
        <v>0</v>
      </c>
      <c r="E153" s="173">
        <f>$E$19*$C153</f>
        <v>0</v>
      </c>
      <c r="F153" s="173">
        <f>$F$19*$C153</f>
        <v>0</v>
      </c>
      <c r="G153" s="464">
        <f>SUM(D153:F153)</f>
        <v>0</v>
      </c>
      <c r="H153" s="173">
        <f>$H$19*$C153</f>
        <v>0</v>
      </c>
      <c r="I153" s="173">
        <f>$I$19*$C153</f>
        <v>0</v>
      </c>
      <c r="J153" s="174">
        <f>$J$19*$C153</f>
        <v>0</v>
      </c>
      <c r="K153" s="173">
        <f>$K$19*$C153</f>
        <v>0</v>
      </c>
      <c r="L153" s="174">
        <f>$L$19*$C153</f>
        <v>0</v>
      </c>
      <c r="M153" s="175">
        <f>$M$19*$C153</f>
        <v>0</v>
      </c>
      <c r="N153" s="239">
        <f t="shared" si="40"/>
        <v>0</v>
      </c>
      <c r="O153" s="176"/>
      <c r="P153" s="532"/>
      <c r="Q153" s="532"/>
      <c r="R153" s="532"/>
      <c r="S153" s="532"/>
      <c r="T153" s="532"/>
      <c r="U153" s="532"/>
      <c r="V153" s="532"/>
      <c r="W153" s="532"/>
      <c r="X153" s="532"/>
      <c r="Y153" s="532"/>
      <c r="Z153" s="532"/>
      <c r="AA153" s="532"/>
      <c r="AB153" s="532"/>
      <c r="AC153" s="532"/>
      <c r="AD153" s="532"/>
      <c r="AE153" s="532"/>
      <c r="AF153" s="532"/>
      <c r="AG153" s="532"/>
      <c r="AH153" s="532"/>
      <c r="AI153" s="532"/>
      <c r="AJ153" s="532"/>
      <c r="AK153" s="532"/>
      <c r="AL153" s="532"/>
      <c r="AM153" s="532"/>
      <c r="AN153" s="532"/>
      <c r="AO153" s="532"/>
      <c r="AP153" s="532"/>
      <c r="AQ153" s="532"/>
      <c r="AR153" s="532"/>
      <c r="AS153" s="532"/>
      <c r="AT153" s="532"/>
      <c r="AU153" s="532"/>
      <c r="AV153" s="532"/>
      <c r="AW153" s="532"/>
      <c r="AX153" s="532"/>
      <c r="AY153" s="532"/>
    </row>
    <row r="154" spans="1:51" s="154" customFormat="1" ht="15" x14ac:dyDescent="0.25">
      <c r="B154" s="164" t="str">
        <f>$B$21</f>
        <v>300HP Tractor &amp; 34' tandem disk</v>
      </c>
      <c r="C154" s="459">
        <v>0</v>
      </c>
      <c r="D154" s="173">
        <f>$D$21*$C154</f>
        <v>0</v>
      </c>
      <c r="E154" s="173">
        <f>$E$21*$C154</f>
        <v>0</v>
      </c>
      <c r="F154" s="173">
        <f>$F$21*$C154</f>
        <v>0</v>
      </c>
      <c r="G154" s="464">
        <f t="shared" ref="G154:G162" si="41">SUM(D154:F154)</f>
        <v>0</v>
      </c>
      <c r="H154" s="173">
        <f>$H$21*$C154</f>
        <v>0</v>
      </c>
      <c r="I154" s="173">
        <f>$I$21*$C154</f>
        <v>0</v>
      </c>
      <c r="J154" s="174">
        <f>$J$21*$C154</f>
        <v>0</v>
      </c>
      <c r="K154" s="173">
        <f>$K$21*$C154</f>
        <v>0</v>
      </c>
      <c r="L154" s="174">
        <f>$L$21*$C154</f>
        <v>0</v>
      </c>
      <c r="M154" s="175">
        <f>$M$21*$C154</f>
        <v>0</v>
      </c>
      <c r="N154" s="239">
        <f t="shared" si="40"/>
        <v>0</v>
      </c>
      <c r="O154" s="176"/>
      <c r="P154" s="532"/>
      <c r="Q154" s="532"/>
      <c r="R154" s="532"/>
      <c r="S154" s="532"/>
      <c r="T154" s="532"/>
      <c r="U154" s="532"/>
      <c r="V154" s="532"/>
      <c r="W154" s="532"/>
      <c r="X154" s="532"/>
      <c r="Y154" s="532"/>
      <c r="Z154" s="532"/>
      <c r="AA154" s="532"/>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2"/>
      <c r="AY154" s="532"/>
    </row>
    <row r="155" spans="1:51" ht="15" x14ac:dyDescent="0.25">
      <c r="A155" s="532"/>
      <c r="B155" s="164" t="str">
        <f>$B$22</f>
        <v>300HP Tractor &amp; 36' cultiweeder</v>
      </c>
      <c r="C155" s="459">
        <v>0</v>
      </c>
      <c r="D155" s="173">
        <f>$D$22*$C155</f>
        <v>0</v>
      </c>
      <c r="E155" s="173">
        <f>$E$22*$C155</f>
        <v>0</v>
      </c>
      <c r="F155" s="173">
        <f>$F$22*$C155</f>
        <v>0</v>
      </c>
      <c r="G155" s="464">
        <f t="shared" si="41"/>
        <v>0</v>
      </c>
      <c r="H155" s="173">
        <f>$H$22*$C155</f>
        <v>0</v>
      </c>
      <c r="I155" s="173">
        <f>$I$22*$C155</f>
        <v>0</v>
      </c>
      <c r="J155" s="174">
        <f>$J$22*$C155</f>
        <v>0</v>
      </c>
      <c r="K155" s="173">
        <f>$K$22*$C155</f>
        <v>0</v>
      </c>
      <c r="L155" s="174">
        <f>$L$22*$C155</f>
        <v>0</v>
      </c>
      <c r="M155" s="175">
        <f>$M$22*$C155</f>
        <v>0</v>
      </c>
      <c r="N155" s="239">
        <f t="shared" si="40"/>
        <v>0</v>
      </c>
      <c r="O155" s="176"/>
      <c r="P155" s="532"/>
      <c r="Q155" s="532"/>
      <c r="R155" s="532"/>
      <c r="S155" s="532"/>
      <c r="T155" s="532"/>
      <c r="U155" s="532"/>
      <c r="V155" s="532"/>
      <c r="W155" s="532"/>
      <c r="X155" s="532"/>
      <c r="Y155" s="532"/>
      <c r="Z155" s="532"/>
      <c r="AA155" s="532"/>
      <c r="AB155" s="532"/>
      <c r="AC155" s="532"/>
      <c r="AD155" s="532"/>
      <c r="AE155" s="532"/>
      <c r="AF155" s="532"/>
      <c r="AG155" s="532"/>
      <c r="AH155" s="532"/>
      <c r="AI155" s="532"/>
      <c r="AJ155" s="532"/>
      <c r="AK155" s="532"/>
      <c r="AL155" s="532"/>
      <c r="AM155" s="532"/>
      <c r="AN155" s="532"/>
      <c r="AO155" s="532"/>
      <c r="AP155" s="532"/>
      <c r="AQ155" s="532"/>
      <c r="AR155" s="532"/>
      <c r="AS155" s="532"/>
      <c r="AT155" s="532"/>
      <c r="AU155" s="532"/>
      <c r="AV155" s="532"/>
      <c r="AW155" s="532"/>
      <c r="AX155" s="532"/>
      <c r="AY155" s="532"/>
    </row>
    <row r="156" spans="1:51" s="154" customFormat="1" ht="15" x14ac:dyDescent="0.25">
      <c r="B156" s="156" t="str">
        <f>$B$23</f>
        <v>300HP Tractor &amp; 35' chisel plow</v>
      </c>
      <c r="C156" s="459">
        <v>0</v>
      </c>
      <c r="D156" s="173">
        <f>$D$23*$C156</f>
        <v>0</v>
      </c>
      <c r="E156" s="173">
        <f>$E$23*$C156</f>
        <v>0</v>
      </c>
      <c r="F156" s="173">
        <f>$F$23*$C156</f>
        <v>0</v>
      </c>
      <c r="G156" s="464">
        <f t="shared" si="41"/>
        <v>0</v>
      </c>
      <c r="H156" s="173">
        <f>$H$23*$C156</f>
        <v>0</v>
      </c>
      <c r="I156" s="173">
        <f>$I$23*$C156</f>
        <v>0</v>
      </c>
      <c r="J156" s="174">
        <f>$J$23*$C156</f>
        <v>0</v>
      </c>
      <c r="K156" s="173">
        <f>$K$23*$C156</f>
        <v>0</v>
      </c>
      <c r="L156" s="174">
        <f>$L$23*$C156</f>
        <v>0</v>
      </c>
      <c r="M156" s="175">
        <f>$M$23*$C156</f>
        <v>0</v>
      </c>
      <c r="N156" s="239">
        <f t="shared" ref="N156:N162" si="42">SUM(H156,I156,K156,M156)</f>
        <v>0</v>
      </c>
      <c r="O156" s="176"/>
      <c r="P156" s="532"/>
      <c r="Q156" s="532"/>
      <c r="R156" s="532"/>
      <c r="S156" s="532"/>
      <c r="T156" s="532"/>
      <c r="U156" s="532"/>
      <c r="V156" s="532"/>
      <c r="W156" s="532"/>
      <c r="X156" s="532"/>
      <c r="Y156" s="532"/>
      <c r="Z156" s="532"/>
      <c r="AA156" s="532"/>
      <c r="AB156" s="532"/>
      <c r="AC156" s="532"/>
      <c r="AD156" s="532"/>
      <c r="AE156" s="532"/>
      <c r="AF156" s="532"/>
      <c r="AG156" s="532"/>
      <c r="AH156" s="532"/>
      <c r="AI156" s="532"/>
      <c r="AJ156" s="532"/>
      <c r="AK156" s="532"/>
      <c r="AL156" s="532"/>
      <c r="AM156" s="532"/>
      <c r="AN156" s="532"/>
      <c r="AO156" s="532"/>
      <c r="AP156" s="532"/>
      <c r="AQ156" s="532"/>
      <c r="AR156" s="532"/>
      <c r="AS156" s="532"/>
      <c r="AT156" s="532"/>
      <c r="AU156" s="532"/>
      <c r="AV156" s="532"/>
      <c r="AW156" s="532"/>
      <c r="AX156" s="532"/>
      <c r="AY156" s="532"/>
    </row>
    <row r="157" spans="1:51" s="154" customFormat="1" ht="15" x14ac:dyDescent="0.25">
      <c r="B157" s="156" t="str">
        <f>$B$24</f>
        <v>300HP Tractor &amp; 36' cultivator</v>
      </c>
      <c r="C157" s="459">
        <v>0</v>
      </c>
      <c r="D157" s="173">
        <f>$D$24*$C157</f>
        <v>0</v>
      </c>
      <c r="E157" s="173">
        <f>$E$24*$C157</f>
        <v>0</v>
      </c>
      <c r="F157" s="173">
        <f>$F$24*$C157</f>
        <v>0</v>
      </c>
      <c r="G157" s="464">
        <f t="shared" si="41"/>
        <v>0</v>
      </c>
      <c r="H157" s="173">
        <f>$H$24*$C157</f>
        <v>0</v>
      </c>
      <c r="I157" s="173">
        <f>$I$24*$C157</f>
        <v>0</v>
      </c>
      <c r="J157" s="174">
        <f>$J$24*$C157</f>
        <v>0</v>
      </c>
      <c r="K157" s="173">
        <f>$K$24*$C157</f>
        <v>0</v>
      </c>
      <c r="L157" s="174">
        <f>$L$24*$C157</f>
        <v>0</v>
      </c>
      <c r="M157" s="175">
        <f>$M$24*$C157</f>
        <v>0</v>
      </c>
      <c r="N157" s="239">
        <f t="shared" si="42"/>
        <v>0</v>
      </c>
      <c r="O157" s="176"/>
      <c r="P157" s="532"/>
      <c r="Q157" s="532"/>
      <c r="R157" s="532"/>
      <c r="S157" s="532"/>
      <c r="T157" s="532"/>
      <c r="U157" s="532"/>
      <c r="V157" s="532"/>
      <c r="W157" s="532"/>
      <c r="X157" s="532"/>
      <c r="Y157" s="532"/>
      <c r="Z157" s="532"/>
      <c r="AA157" s="532"/>
      <c r="AB157" s="532"/>
      <c r="AC157" s="532"/>
      <c r="AD157" s="532"/>
      <c r="AE157" s="532"/>
      <c r="AF157" s="532"/>
      <c r="AG157" s="532"/>
      <c r="AH157" s="532"/>
      <c r="AI157" s="532"/>
      <c r="AJ157" s="532"/>
      <c r="AK157" s="532"/>
      <c r="AL157" s="532"/>
      <c r="AM157" s="532"/>
      <c r="AN157" s="532"/>
      <c r="AO157" s="532"/>
      <c r="AP157" s="532"/>
      <c r="AQ157" s="532"/>
      <c r="AR157" s="532"/>
      <c r="AS157" s="532"/>
      <c r="AT157" s="532"/>
      <c r="AU157" s="532"/>
      <c r="AV157" s="532"/>
      <c r="AW157" s="532"/>
      <c r="AX157" s="532"/>
      <c r="AY157" s="532"/>
    </row>
    <row r="158" spans="1:51" s="154" customFormat="1" ht="15" x14ac:dyDescent="0.25">
      <c r="B158" s="156" t="str">
        <f>$B$25</f>
        <v>300HP Tractor &amp; 48' spring tooth harrow</v>
      </c>
      <c r="C158" s="459">
        <v>0</v>
      </c>
      <c r="D158" s="173">
        <f>$D$25*$C158</f>
        <v>0</v>
      </c>
      <c r="E158" s="173">
        <f>$E$25*$C158</f>
        <v>0</v>
      </c>
      <c r="F158" s="173">
        <f>$F$25*$C158</f>
        <v>0</v>
      </c>
      <c r="G158" s="464">
        <f t="shared" si="41"/>
        <v>0</v>
      </c>
      <c r="H158" s="173">
        <f>$H$25*$C158</f>
        <v>0</v>
      </c>
      <c r="I158" s="173">
        <f>$I$25*$C158</f>
        <v>0</v>
      </c>
      <c r="J158" s="174">
        <f>$J$25*$C158</f>
        <v>0</v>
      </c>
      <c r="K158" s="173">
        <f>$K$25*$C158</f>
        <v>0</v>
      </c>
      <c r="L158" s="174">
        <f>$L$25*$C158</f>
        <v>0</v>
      </c>
      <c r="M158" s="175">
        <f>$M$25*$C158</f>
        <v>0</v>
      </c>
      <c r="N158" s="239">
        <f t="shared" si="42"/>
        <v>0</v>
      </c>
      <c r="O158" s="176"/>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c r="AM158" s="532"/>
      <c r="AN158" s="532"/>
      <c r="AO158" s="532"/>
      <c r="AP158" s="532"/>
      <c r="AQ158" s="532"/>
      <c r="AR158" s="532"/>
      <c r="AS158" s="532"/>
      <c r="AT158" s="532"/>
      <c r="AU158" s="532"/>
      <c r="AV158" s="532"/>
      <c r="AW158" s="532"/>
      <c r="AX158" s="532"/>
      <c r="AY158" s="532"/>
    </row>
    <row r="159" spans="1:51" s="154" customFormat="1" ht="15" x14ac:dyDescent="0.25">
      <c r="B159" s="156" t="str">
        <f>$B$26</f>
        <v>300HP Tractor &amp; 36' grain drill</v>
      </c>
      <c r="C159" s="459">
        <v>1</v>
      </c>
      <c r="D159" s="173">
        <f>$D$26*$C159</f>
        <v>1.54</v>
      </c>
      <c r="E159" s="173">
        <f>$E$26*$C159</f>
        <v>1.4</v>
      </c>
      <c r="F159" s="173">
        <f>$F$26*$C159</f>
        <v>0.49</v>
      </c>
      <c r="G159" s="464">
        <f t="shared" si="41"/>
        <v>3.4299999999999997</v>
      </c>
      <c r="H159" s="173">
        <f>$H$26*$C159</f>
        <v>1.02</v>
      </c>
      <c r="I159" s="173">
        <f>$I$26*$C159</f>
        <v>0.56999999999999995</v>
      </c>
      <c r="J159" s="174">
        <f>$J$26*$C159</f>
        <v>1.1200000000000001</v>
      </c>
      <c r="K159" s="173">
        <f>$K$26*$C159</f>
        <v>3.81</v>
      </c>
      <c r="L159" s="174">
        <f>$L$26*$C159</f>
        <v>0.09</v>
      </c>
      <c r="M159" s="175">
        <f>$M$26*$C159</f>
        <v>1.8</v>
      </c>
      <c r="N159" s="239">
        <f t="shared" si="42"/>
        <v>7.2</v>
      </c>
      <c r="O159" s="176"/>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c r="AM159" s="532"/>
      <c r="AN159" s="532"/>
      <c r="AO159" s="532"/>
      <c r="AP159" s="532"/>
      <c r="AQ159" s="532"/>
      <c r="AR159" s="532"/>
      <c r="AS159" s="532"/>
      <c r="AT159" s="532"/>
      <c r="AU159" s="532"/>
      <c r="AV159" s="532"/>
      <c r="AW159" s="532"/>
      <c r="AX159" s="532"/>
      <c r="AY159" s="532"/>
    </row>
    <row r="160" spans="1:51" s="154" customFormat="1" ht="15" x14ac:dyDescent="0.25">
      <c r="B160" s="168" t="str">
        <f>$B$27</f>
        <v>Combine &amp; 30' header  *4 mph harvest speed*</v>
      </c>
      <c r="C160" s="459">
        <v>1</v>
      </c>
      <c r="D160" s="173">
        <f>$D$27*$C160</f>
        <v>2.48</v>
      </c>
      <c r="E160" s="173">
        <f>$E$27*$C160</f>
        <v>2.21</v>
      </c>
      <c r="F160" s="173">
        <f>$F$27*$C160</f>
        <v>0.92</v>
      </c>
      <c r="G160" s="464">
        <f t="shared" si="41"/>
        <v>5.6099999999999994</v>
      </c>
      <c r="H160" s="173">
        <f>$H$27*$C160</f>
        <v>2.29</v>
      </c>
      <c r="I160" s="173">
        <f>$I$27*$C160</f>
        <v>0.27</v>
      </c>
      <c r="J160" s="174">
        <f>$J$27*$C160</f>
        <v>0.52</v>
      </c>
      <c r="K160" s="173">
        <f>$K$27*$C160</f>
        <v>1.77</v>
      </c>
      <c r="L160" s="174">
        <f>$L$27*$C160</f>
        <v>0.09</v>
      </c>
      <c r="M160" s="175">
        <f>$M$27*$C160</f>
        <v>1.8</v>
      </c>
      <c r="N160" s="239">
        <f t="shared" si="42"/>
        <v>6.13</v>
      </c>
      <c r="O160" s="176"/>
      <c r="P160" s="533"/>
      <c r="Q160" s="532"/>
      <c r="R160" s="532"/>
      <c r="S160" s="532"/>
      <c r="T160" s="532"/>
      <c r="U160" s="532"/>
      <c r="V160" s="532"/>
      <c r="W160" s="532"/>
      <c r="X160" s="532"/>
      <c r="Y160" s="532"/>
      <c r="Z160" s="532"/>
      <c r="AA160" s="532"/>
      <c r="AB160" s="532"/>
      <c r="AC160" s="532"/>
      <c r="AD160" s="532"/>
      <c r="AE160" s="532"/>
      <c r="AF160" s="532"/>
      <c r="AG160" s="532"/>
      <c r="AH160" s="532"/>
      <c r="AI160" s="532"/>
      <c r="AJ160" s="532"/>
      <c r="AK160" s="532"/>
      <c r="AL160" s="532"/>
      <c r="AM160" s="532"/>
      <c r="AN160" s="532"/>
      <c r="AO160" s="532"/>
      <c r="AP160" s="532"/>
      <c r="AQ160" s="532"/>
      <c r="AR160" s="532"/>
      <c r="AS160" s="532"/>
      <c r="AT160" s="532"/>
      <c r="AU160" s="532"/>
      <c r="AV160" s="532"/>
      <c r="AW160" s="532"/>
      <c r="AX160" s="532"/>
      <c r="AY160" s="532"/>
    </row>
    <row r="161" spans="1:51" ht="15" x14ac:dyDescent="0.25">
      <c r="A161" s="532"/>
      <c r="B161" s="168" t="str">
        <f>$B$28</f>
        <v>Combine &amp; 30' header *3 mph harvest speed*</v>
      </c>
      <c r="C161" s="459">
        <v>0</v>
      </c>
      <c r="D161" s="173">
        <f>$D$28*$C161</f>
        <v>0</v>
      </c>
      <c r="E161" s="173">
        <f>$E$28*$C161</f>
        <v>0</v>
      </c>
      <c r="F161" s="173">
        <f>$F$28*$C161</f>
        <v>0</v>
      </c>
      <c r="G161" s="464">
        <f t="shared" si="41"/>
        <v>0</v>
      </c>
      <c r="H161" s="173">
        <f>$H$28*$C161</f>
        <v>0</v>
      </c>
      <c r="I161" s="173">
        <f>$I$28*$C161</f>
        <v>0</v>
      </c>
      <c r="J161" s="174">
        <f>$J$28*$C161</f>
        <v>0</v>
      </c>
      <c r="K161" s="173">
        <f>$K$28*$C161</f>
        <v>0</v>
      </c>
      <c r="L161" s="174">
        <f>$L$28*$C161</f>
        <v>0</v>
      </c>
      <c r="M161" s="175">
        <f>$M$28*$C161</f>
        <v>0</v>
      </c>
      <c r="N161" s="239">
        <f t="shared" si="42"/>
        <v>0</v>
      </c>
      <c r="O161" s="176"/>
      <c r="P161" s="532"/>
      <c r="Q161" s="532"/>
      <c r="R161" s="532"/>
      <c r="S161" s="532"/>
      <c r="T161" s="532"/>
      <c r="U161" s="532"/>
      <c r="V161" s="532"/>
      <c r="W161" s="532"/>
      <c r="X161" s="532"/>
      <c r="Y161" s="532"/>
      <c r="Z161" s="532"/>
      <c r="AA161" s="532"/>
      <c r="AB161" s="532"/>
      <c r="AC161" s="532"/>
      <c r="AD161" s="532"/>
      <c r="AE161" s="532"/>
      <c r="AF161" s="532"/>
      <c r="AG161" s="532"/>
      <c r="AH161" s="532"/>
      <c r="AI161" s="532"/>
      <c r="AJ161" s="532"/>
      <c r="AK161" s="532"/>
      <c r="AL161" s="532"/>
      <c r="AM161" s="532"/>
      <c r="AN161" s="532"/>
      <c r="AO161" s="532"/>
      <c r="AP161" s="532"/>
      <c r="AQ161" s="532"/>
      <c r="AR161" s="532"/>
      <c r="AS161" s="532"/>
      <c r="AT161" s="532"/>
      <c r="AU161" s="532"/>
      <c r="AV161" s="532"/>
      <c r="AW161" s="532"/>
      <c r="AX161" s="532"/>
      <c r="AY161" s="532"/>
    </row>
    <row r="162" spans="1:51" s="154" customFormat="1" ht="15" x14ac:dyDescent="0.25">
      <c r="B162" s="168" t="str">
        <f>$B$29</f>
        <v>300HP Tractor &amp; Bankout wagon</v>
      </c>
      <c r="C162" s="459">
        <v>1</v>
      </c>
      <c r="D162" s="173">
        <f>$D$29*$C162</f>
        <v>0.9163</v>
      </c>
      <c r="E162" s="173">
        <f>$E$29*$C162</f>
        <v>0.53899999999999992</v>
      </c>
      <c r="F162" s="173">
        <f>$F$29*$C162</f>
        <v>8.4699999999999998E-2</v>
      </c>
      <c r="G162" s="464">
        <f t="shared" si="41"/>
        <v>1.5399999999999998</v>
      </c>
      <c r="H162" s="173">
        <f>$H$29*$C162</f>
        <v>0.40810000000000002</v>
      </c>
      <c r="I162" s="173">
        <f>$I$29*$C162</f>
        <v>0.25</v>
      </c>
      <c r="J162" s="174">
        <f>$J$29*$C162</f>
        <v>0.49</v>
      </c>
      <c r="K162" s="173">
        <f>$K$29*$C162</f>
        <v>1.67</v>
      </c>
      <c r="L162" s="174">
        <f>$L$29*$C162</f>
        <v>0.09</v>
      </c>
      <c r="M162" s="175">
        <f>$M$29*$C162</f>
        <v>1.8</v>
      </c>
      <c r="N162" s="239">
        <f t="shared" si="42"/>
        <v>4.1280999999999999</v>
      </c>
      <c r="O162" s="176"/>
      <c r="P162" s="532"/>
      <c r="Q162" s="532"/>
      <c r="R162" s="532"/>
      <c r="S162" s="532"/>
      <c r="T162" s="532"/>
      <c r="U162" s="532"/>
      <c r="V162" s="532"/>
      <c r="W162" s="532"/>
      <c r="X162" s="532"/>
      <c r="Y162" s="532"/>
      <c r="Z162" s="532"/>
      <c r="AA162" s="532"/>
      <c r="AB162" s="532"/>
      <c r="AC162" s="532"/>
      <c r="AD162" s="532"/>
      <c r="AE162" s="532"/>
      <c r="AF162" s="532"/>
      <c r="AG162" s="532"/>
      <c r="AH162" s="532"/>
      <c r="AI162" s="532"/>
      <c r="AJ162" s="532"/>
      <c r="AK162" s="532"/>
      <c r="AL162" s="532"/>
      <c r="AM162" s="532"/>
      <c r="AN162" s="532"/>
      <c r="AO162" s="532"/>
      <c r="AP162" s="532"/>
      <c r="AQ162" s="532"/>
      <c r="AR162" s="532"/>
      <c r="AS162" s="532"/>
      <c r="AT162" s="532"/>
      <c r="AU162" s="532"/>
      <c r="AV162" s="532"/>
      <c r="AW162" s="532"/>
      <c r="AX162" s="532"/>
      <c r="AY162" s="532"/>
    </row>
    <row r="163" spans="1:51" s="154" customFormat="1" ht="15" x14ac:dyDescent="0.25">
      <c r="B163" s="255" t="str">
        <f>$B$30</f>
        <v>Annual Costs:</v>
      </c>
      <c r="C163" s="454"/>
      <c r="D163" s="268"/>
      <c r="E163" s="268"/>
      <c r="F163" s="268"/>
      <c r="G163" s="465"/>
      <c r="H163" s="269"/>
      <c r="I163" s="269"/>
      <c r="J163" s="270"/>
      <c r="K163" s="269"/>
      <c r="L163" s="270"/>
      <c r="M163" s="271"/>
      <c r="N163" s="272"/>
      <c r="O163" s="273"/>
      <c r="P163" s="532"/>
      <c r="Q163" s="532"/>
      <c r="R163" s="532"/>
      <c r="S163" s="532"/>
      <c r="T163" s="532"/>
      <c r="U163" s="532"/>
      <c r="V163" s="532"/>
      <c r="W163" s="532"/>
      <c r="X163" s="532"/>
      <c r="Y163" s="532"/>
      <c r="Z163" s="532"/>
      <c r="AA163" s="532"/>
      <c r="AB163" s="532"/>
      <c r="AC163" s="532"/>
      <c r="AD163" s="532"/>
      <c r="AE163" s="532"/>
      <c r="AF163" s="532"/>
      <c r="AG163" s="532"/>
      <c r="AH163" s="532"/>
      <c r="AI163" s="532"/>
      <c r="AJ163" s="532"/>
      <c r="AK163" s="532"/>
      <c r="AL163" s="532"/>
      <c r="AM163" s="532"/>
      <c r="AN163" s="532"/>
      <c r="AO163" s="532"/>
      <c r="AP163" s="532"/>
      <c r="AQ163" s="532"/>
      <c r="AR163" s="532"/>
      <c r="AS163" s="532"/>
      <c r="AT163" s="532"/>
      <c r="AU163" s="532"/>
      <c r="AV163" s="532"/>
      <c r="AW163" s="532"/>
      <c r="AX163" s="532"/>
      <c r="AY163" s="532"/>
    </row>
    <row r="164" spans="1:51" s="154" customFormat="1" ht="15" x14ac:dyDescent="0.25">
      <c r="B164" s="261" t="str">
        <f>$B$31</f>
        <v>Tandem axle truck</v>
      </c>
      <c r="C164" s="458"/>
      <c r="D164" s="274">
        <f>$D$31</f>
        <v>0.39</v>
      </c>
      <c r="E164" s="274">
        <f>$E$31</f>
        <v>0.44</v>
      </c>
      <c r="F164" s="274">
        <f>$F$31</f>
        <v>0.72</v>
      </c>
      <c r="G164" s="466">
        <f>$G$31</f>
        <v>1.55</v>
      </c>
      <c r="H164" s="274">
        <f>$H$31</f>
        <v>0.56999999999999995</v>
      </c>
      <c r="I164" s="274">
        <f>$I$31</f>
        <v>0.04</v>
      </c>
      <c r="J164" s="275">
        <f>$J$31</f>
        <v>7.0000000000000007E-2</v>
      </c>
      <c r="K164" s="274">
        <f>$K$31</f>
        <v>0.24</v>
      </c>
      <c r="L164" s="275">
        <f>$L$31</f>
        <v>0.03</v>
      </c>
      <c r="M164" s="266">
        <f>$M$31</f>
        <v>0.51</v>
      </c>
      <c r="N164" s="276">
        <f t="shared" ref="N164:N169" si="43">SUM(H164,I164,K164,M164)</f>
        <v>1.3599999999999999</v>
      </c>
      <c r="O164" s="277"/>
      <c r="P164" s="532"/>
      <c r="Q164" s="532"/>
      <c r="R164" s="532"/>
      <c r="S164" s="532"/>
      <c r="T164" s="532"/>
      <c r="U164" s="532"/>
      <c r="V164" s="532"/>
      <c r="W164" s="532"/>
      <c r="X164" s="532"/>
      <c r="Y164" s="532"/>
      <c r="Z164" s="532"/>
      <c r="AA164" s="532"/>
      <c r="AB164" s="532"/>
      <c r="AC164" s="532"/>
      <c r="AD164" s="532"/>
      <c r="AE164" s="532"/>
      <c r="AF164" s="532"/>
      <c r="AG164" s="532"/>
      <c r="AH164" s="532"/>
      <c r="AI164" s="532"/>
      <c r="AJ164" s="532"/>
      <c r="AK164" s="532"/>
      <c r="AL164" s="532"/>
      <c r="AM164" s="532"/>
      <c r="AN164" s="532"/>
      <c r="AO164" s="532"/>
      <c r="AP164" s="532"/>
      <c r="AQ164" s="532"/>
      <c r="AR164" s="532"/>
      <c r="AS164" s="532"/>
      <c r="AT164" s="532"/>
      <c r="AU164" s="532"/>
      <c r="AV164" s="532"/>
      <c r="AW164" s="532"/>
      <c r="AX164" s="532"/>
      <c r="AY164" s="532"/>
    </row>
    <row r="165" spans="1:51" s="154" customFormat="1" ht="15" x14ac:dyDescent="0.25">
      <c r="B165" s="261" t="str">
        <f>$B$32</f>
        <v>Tandem axle truck</v>
      </c>
      <c r="C165" s="458"/>
      <c r="D165" s="274">
        <f>$D$32</f>
        <v>0.39</v>
      </c>
      <c r="E165" s="274">
        <f>$E$32</f>
        <v>0.44</v>
      </c>
      <c r="F165" s="274">
        <f>$F$32</f>
        <v>0.72</v>
      </c>
      <c r="G165" s="466">
        <f>$G$32</f>
        <v>1.55</v>
      </c>
      <c r="H165" s="274">
        <f>$H$32</f>
        <v>0.56999999999999995</v>
      </c>
      <c r="I165" s="274">
        <f>$I$32</f>
        <v>0.04</v>
      </c>
      <c r="J165" s="275">
        <f>$J$32</f>
        <v>7.0000000000000007E-2</v>
      </c>
      <c r="K165" s="274">
        <f>$K$32</f>
        <v>0.24</v>
      </c>
      <c r="L165" s="275">
        <f>$L$32</f>
        <v>0.03</v>
      </c>
      <c r="M165" s="266">
        <f>$M$32</f>
        <v>0.51</v>
      </c>
      <c r="N165" s="276">
        <f t="shared" si="43"/>
        <v>1.3599999999999999</v>
      </c>
      <c r="O165" s="277"/>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c r="AM165" s="532"/>
      <c r="AN165" s="532"/>
      <c r="AO165" s="532"/>
      <c r="AP165" s="532"/>
      <c r="AQ165" s="532"/>
      <c r="AR165" s="532"/>
      <c r="AS165" s="532"/>
      <c r="AT165" s="532"/>
      <c r="AU165" s="532"/>
      <c r="AV165" s="532"/>
      <c r="AW165" s="532"/>
      <c r="AX165" s="532"/>
      <c r="AY165" s="532"/>
    </row>
    <row r="166" spans="1:51" s="154" customFormat="1" ht="15" x14ac:dyDescent="0.25">
      <c r="B166" s="261" t="str">
        <f>$B$33</f>
        <v>2-ton truck</v>
      </c>
      <c r="C166" s="458"/>
      <c r="D166" s="274">
        <f>$D$33</f>
        <v>0.32</v>
      </c>
      <c r="E166" s="274">
        <f>$E$33</f>
        <v>0.26</v>
      </c>
      <c r="F166" s="274">
        <f>$F$33</f>
        <v>0.42</v>
      </c>
      <c r="G166" s="466">
        <f>$G$33</f>
        <v>1</v>
      </c>
      <c r="H166" s="274">
        <f>$H$33</f>
        <v>0.28999999999999998</v>
      </c>
      <c r="I166" s="274">
        <f>$I$33</f>
        <v>0.03</v>
      </c>
      <c r="J166" s="275">
        <f>$J$33</f>
        <v>0.05</v>
      </c>
      <c r="K166" s="274">
        <f>$K$33</f>
        <v>0.17</v>
      </c>
      <c r="L166" s="275">
        <f>$L$33</f>
        <v>0.02</v>
      </c>
      <c r="M166" s="266">
        <f>$M$33</f>
        <v>0.34</v>
      </c>
      <c r="N166" s="276">
        <f t="shared" si="43"/>
        <v>0.83000000000000007</v>
      </c>
      <c r="O166" s="277"/>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c r="AM166" s="532"/>
      <c r="AN166" s="532"/>
      <c r="AO166" s="532"/>
      <c r="AP166" s="532"/>
      <c r="AQ166" s="532"/>
      <c r="AR166" s="532"/>
      <c r="AS166" s="532"/>
      <c r="AT166" s="532"/>
      <c r="AU166" s="532"/>
      <c r="AV166" s="532"/>
      <c r="AW166" s="532"/>
      <c r="AX166" s="532"/>
      <c r="AY166" s="532"/>
    </row>
    <row r="167" spans="1:51" s="154" customFormat="1" ht="15" x14ac:dyDescent="0.25">
      <c r="B167" s="261" t="str">
        <f>$B$34</f>
        <v>Trap wagon</v>
      </c>
      <c r="C167" s="458"/>
      <c r="D167" s="274">
        <f>$D$34</f>
        <v>0.35</v>
      </c>
      <c r="E167" s="274">
        <f>$E$34</f>
        <v>0.16</v>
      </c>
      <c r="F167" s="274">
        <f>$F$34</f>
        <v>0.26</v>
      </c>
      <c r="G167" s="466">
        <f>$G$34</f>
        <v>0.77</v>
      </c>
      <c r="H167" s="274">
        <f>$H$34</f>
        <v>0.12</v>
      </c>
      <c r="I167" s="274">
        <f>$I$34</f>
        <v>0.03</v>
      </c>
      <c r="J167" s="275">
        <f>$J$34</f>
        <v>0.05</v>
      </c>
      <c r="K167" s="274">
        <f>$K$34</f>
        <v>0.17</v>
      </c>
      <c r="L167" s="275">
        <f>$L$34</f>
        <v>0.02</v>
      </c>
      <c r="M167" s="266">
        <f>$M$34</f>
        <v>0.34</v>
      </c>
      <c r="N167" s="276">
        <f t="shared" si="43"/>
        <v>0.66</v>
      </c>
      <c r="O167" s="277"/>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c r="AM167" s="532"/>
      <c r="AN167" s="532"/>
      <c r="AO167" s="532"/>
      <c r="AP167" s="532"/>
      <c r="AQ167" s="532"/>
      <c r="AR167" s="532"/>
      <c r="AS167" s="532"/>
      <c r="AT167" s="532"/>
      <c r="AU167" s="532"/>
      <c r="AV167" s="532"/>
      <c r="AW167" s="532"/>
      <c r="AX167" s="532"/>
      <c r="AY167" s="532"/>
    </row>
    <row r="168" spans="1:51" s="154" customFormat="1" ht="15" x14ac:dyDescent="0.25">
      <c r="B168" s="261" t="str">
        <f>$B$35</f>
        <v>3/4-ton pick-up</v>
      </c>
      <c r="C168" s="458"/>
      <c r="D168" s="274">
        <f>$D$35</f>
        <v>0.6</v>
      </c>
      <c r="E168" s="274">
        <f>$E$35</f>
        <v>0.42</v>
      </c>
      <c r="F168" s="274">
        <f>$F$35</f>
        <v>0.45</v>
      </c>
      <c r="G168" s="466">
        <f>$G$35</f>
        <v>1.47</v>
      </c>
      <c r="H168" s="274">
        <f>$H$35</f>
        <v>0.17</v>
      </c>
      <c r="I168" s="274">
        <f>$I$35</f>
        <v>0.02</v>
      </c>
      <c r="J168" s="275">
        <f>$J$35</f>
        <v>0.03</v>
      </c>
      <c r="K168" s="274">
        <f>$K$35</f>
        <v>0.11</v>
      </c>
      <c r="L168" s="275">
        <f>$L$35</f>
        <v>0.01</v>
      </c>
      <c r="M168" s="266">
        <f>$M$35</f>
        <v>0.17</v>
      </c>
      <c r="N168" s="276">
        <f t="shared" si="43"/>
        <v>0.47</v>
      </c>
      <c r="O168" s="277"/>
      <c r="P168" s="532"/>
      <c r="Q168" s="532"/>
      <c r="R168" s="532"/>
      <c r="S168" s="532"/>
      <c r="T168" s="532"/>
      <c r="U168" s="532"/>
      <c r="V168" s="532"/>
      <c r="W168" s="532"/>
      <c r="X168" s="532"/>
      <c r="Y168" s="532"/>
      <c r="Z168" s="532"/>
      <c r="AA168" s="532"/>
      <c r="AB168" s="532"/>
      <c r="AC168" s="532"/>
      <c r="AD168" s="532"/>
      <c r="AE168" s="532"/>
      <c r="AF168" s="532"/>
      <c r="AG168" s="532"/>
      <c r="AH168" s="532"/>
      <c r="AI168" s="532"/>
      <c r="AJ168" s="532"/>
      <c r="AK168" s="532"/>
      <c r="AL168" s="532"/>
      <c r="AM168" s="532"/>
      <c r="AN168" s="532"/>
      <c r="AO168" s="532"/>
      <c r="AP168" s="532"/>
      <c r="AQ168" s="532"/>
      <c r="AR168" s="532"/>
      <c r="AS168" s="532"/>
      <c r="AT168" s="532"/>
      <c r="AU168" s="532"/>
      <c r="AV168" s="532"/>
      <c r="AW168" s="532"/>
      <c r="AX168" s="532"/>
      <c r="AY168" s="532"/>
    </row>
    <row r="169" spans="1:51" s="154" customFormat="1" ht="15" x14ac:dyDescent="0.25">
      <c r="B169" s="261" t="str">
        <f>$B$36</f>
        <v>ATV</v>
      </c>
      <c r="C169" s="458"/>
      <c r="D169" s="274">
        <f>$D$36</f>
        <v>0.25</v>
      </c>
      <c r="E169" s="274">
        <f>$E$36</f>
        <v>0.14000000000000001</v>
      </c>
      <c r="F169" s="274">
        <f>$F$36</f>
        <v>0.03</v>
      </c>
      <c r="G169" s="466">
        <f>$G$36</f>
        <v>0.42000000000000004</v>
      </c>
      <c r="H169" s="274">
        <f>$H$36</f>
        <v>0.05</v>
      </c>
      <c r="I169" s="274">
        <f>$I$36</f>
        <v>0.06</v>
      </c>
      <c r="J169" s="275">
        <f>$J$36</f>
        <v>0.12</v>
      </c>
      <c r="K169" s="274">
        <f>$K$36</f>
        <v>0.42</v>
      </c>
      <c r="L169" s="275">
        <f>$L$36</f>
        <v>0.11</v>
      </c>
      <c r="M169" s="266">
        <f>$M$36</f>
        <v>1.87</v>
      </c>
      <c r="N169" s="276">
        <f t="shared" si="43"/>
        <v>2.4000000000000004</v>
      </c>
      <c r="O169" s="277"/>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c r="AM169" s="532"/>
      <c r="AN169" s="532"/>
      <c r="AO169" s="532"/>
      <c r="AP169" s="532"/>
      <c r="AQ169" s="532"/>
      <c r="AR169" s="532"/>
      <c r="AS169" s="532"/>
      <c r="AT169" s="532"/>
      <c r="AU169" s="532"/>
      <c r="AV169" s="532"/>
      <c r="AW169" s="532"/>
      <c r="AX169" s="532"/>
      <c r="AY169" s="532"/>
    </row>
    <row r="170" spans="1:51" s="154" customFormat="1" ht="13.5" thickBot="1" x14ac:dyDescent="0.25">
      <c r="B170" s="692" t="str">
        <f>$B$37</f>
        <v>Cost $/Acre</v>
      </c>
      <c r="C170" s="693"/>
      <c r="D170" s="237">
        <f t="shared" ref="D170:N170" si="44">SUM(D150:D169)</f>
        <v>10.876300000000001</v>
      </c>
      <c r="E170" s="237">
        <f t="shared" si="44"/>
        <v>9.7690000000000001</v>
      </c>
      <c r="F170" s="237">
        <f t="shared" si="44"/>
        <v>5.9546999999999999</v>
      </c>
      <c r="G170" s="237">
        <f t="shared" si="44"/>
        <v>26.599999999999998</v>
      </c>
      <c r="H170" s="237">
        <f t="shared" si="44"/>
        <v>6.3681000000000001</v>
      </c>
      <c r="I170" s="237">
        <f t="shared" si="44"/>
        <v>1.35</v>
      </c>
      <c r="J170" s="159">
        <f t="shared" si="44"/>
        <v>2.5999999999999992</v>
      </c>
      <c r="K170" s="237">
        <f t="shared" si="44"/>
        <v>8.879999999999999</v>
      </c>
      <c r="L170" s="159">
        <f t="shared" si="44"/>
        <v>0.53</v>
      </c>
      <c r="M170" s="237">
        <f t="shared" si="44"/>
        <v>9.9400000000000013</v>
      </c>
      <c r="N170" s="237">
        <f t="shared" si="44"/>
        <v>26.5381</v>
      </c>
      <c r="O170" s="157">
        <f>SUM(G170,N170)</f>
        <v>53.138099999999994</v>
      </c>
      <c r="P170" s="532"/>
      <c r="Q170" s="532"/>
      <c r="R170" s="532"/>
      <c r="S170" s="532"/>
      <c r="T170" s="532"/>
      <c r="U170" s="532"/>
      <c r="V170" s="532"/>
      <c r="W170" s="532"/>
      <c r="X170" s="532"/>
      <c r="Y170" s="532"/>
      <c r="Z170" s="532"/>
      <c r="AA170" s="532"/>
      <c r="AB170" s="532"/>
      <c r="AC170" s="532"/>
      <c r="AD170" s="532"/>
      <c r="AE170" s="532"/>
      <c r="AF170" s="532"/>
      <c r="AG170" s="532"/>
      <c r="AH170" s="532"/>
      <c r="AI170" s="532"/>
      <c r="AJ170" s="532"/>
      <c r="AK170" s="532"/>
      <c r="AL170" s="532"/>
      <c r="AM170" s="532"/>
      <c r="AN170" s="532"/>
      <c r="AO170" s="532"/>
      <c r="AP170" s="532"/>
      <c r="AQ170" s="532"/>
      <c r="AR170" s="532"/>
      <c r="AS170" s="532"/>
      <c r="AT170" s="532"/>
      <c r="AU170" s="532"/>
      <c r="AV170" s="532"/>
      <c r="AW170" s="532"/>
      <c r="AX170" s="532"/>
      <c r="AY170" s="532"/>
    </row>
    <row r="171" spans="1:51" s="154" customFormat="1" ht="12.75" x14ac:dyDescent="0.2">
      <c r="P171" s="532"/>
      <c r="Q171" s="532"/>
      <c r="R171" s="532"/>
      <c r="S171" s="532"/>
      <c r="T171" s="532"/>
      <c r="U171" s="532"/>
      <c r="V171" s="532"/>
      <c r="W171" s="532"/>
      <c r="X171" s="532"/>
      <c r="Y171" s="532"/>
      <c r="Z171" s="532"/>
      <c r="AA171" s="532"/>
      <c r="AB171" s="532"/>
      <c r="AC171" s="532"/>
      <c r="AD171" s="532"/>
      <c r="AE171" s="532"/>
      <c r="AF171" s="532"/>
      <c r="AG171" s="532"/>
      <c r="AH171" s="532"/>
      <c r="AI171" s="532"/>
      <c r="AJ171" s="532"/>
      <c r="AK171" s="532"/>
      <c r="AL171" s="532"/>
      <c r="AM171" s="532"/>
      <c r="AN171" s="532"/>
      <c r="AO171" s="532"/>
      <c r="AP171" s="532"/>
      <c r="AQ171" s="532"/>
      <c r="AR171" s="532"/>
      <c r="AS171" s="532"/>
      <c r="AT171" s="532"/>
      <c r="AU171" s="532"/>
      <c r="AV171" s="532"/>
      <c r="AW171" s="532"/>
      <c r="AX171" s="532"/>
      <c r="AY171" s="532"/>
    </row>
    <row r="172" spans="1:51" s="121" customFormat="1" ht="12.75" x14ac:dyDescent="0.2">
      <c r="A172" s="154"/>
      <c r="B172" s="154"/>
      <c r="C172" s="154"/>
      <c r="D172" s="154"/>
      <c r="E172" s="154"/>
      <c r="F172" s="154"/>
      <c r="G172" s="154"/>
      <c r="H172" s="154"/>
      <c r="I172" s="154"/>
      <c r="J172" s="154"/>
      <c r="K172" s="154"/>
      <c r="L172" s="154"/>
      <c r="M172" s="154"/>
      <c r="N172" s="154"/>
      <c r="O172" s="154"/>
      <c r="T172" s="532"/>
      <c r="U172" s="532"/>
      <c r="V172" s="532"/>
      <c r="W172" s="532"/>
      <c r="X172" s="532"/>
      <c r="Y172" s="532"/>
      <c r="Z172" s="532"/>
      <c r="AA172" s="532"/>
      <c r="AB172" s="532"/>
    </row>
    <row r="173" spans="1:51" s="154" customFormat="1" ht="15.75" x14ac:dyDescent="0.25">
      <c r="A173" s="121"/>
      <c r="B173" s="492" t="s">
        <v>316</v>
      </c>
      <c r="C173" s="493"/>
      <c r="D173" s="493"/>
      <c r="E173" s="493"/>
      <c r="F173" s="493"/>
      <c r="G173" s="493"/>
      <c r="H173" s="493"/>
      <c r="I173" s="493"/>
      <c r="J173" s="493"/>
      <c r="K173" s="493"/>
      <c r="L173" s="623" t="s">
        <v>519</v>
      </c>
      <c r="M173" s="493"/>
      <c r="N173" s="493"/>
      <c r="O173" s="494" t="s">
        <v>524</v>
      </c>
      <c r="P173" s="198"/>
      <c r="Q173" s="532"/>
      <c r="R173" s="532"/>
      <c r="S173" s="532"/>
      <c r="T173" s="121"/>
      <c r="U173" s="532"/>
      <c r="V173" s="532"/>
      <c r="W173" s="532"/>
      <c r="X173" s="532"/>
      <c r="Y173" s="532"/>
      <c r="Z173" s="532"/>
      <c r="AA173" s="532"/>
      <c r="AB173" s="532"/>
      <c r="AC173" s="532"/>
      <c r="AD173" s="532"/>
      <c r="AE173" s="532"/>
      <c r="AF173" s="532"/>
      <c r="AG173" s="532"/>
      <c r="AH173" s="532"/>
      <c r="AI173" s="532"/>
      <c r="AJ173" s="532"/>
      <c r="AK173" s="532"/>
      <c r="AL173" s="532"/>
      <c r="AM173" s="532"/>
      <c r="AN173" s="532"/>
      <c r="AO173" s="532"/>
      <c r="AP173" s="532"/>
      <c r="AQ173" s="532"/>
      <c r="AR173" s="532"/>
      <c r="AS173" s="532"/>
      <c r="AT173" s="532"/>
      <c r="AU173" s="532"/>
      <c r="AV173" s="532"/>
      <c r="AW173" s="532"/>
      <c r="AX173" s="532"/>
      <c r="AY173" s="532"/>
    </row>
    <row r="174" spans="1:51" s="154" customFormat="1" ht="15" x14ac:dyDescent="0.25">
      <c r="B174" s="155"/>
      <c r="C174" s="455"/>
      <c r="D174" s="704" t="s">
        <v>173</v>
      </c>
      <c r="E174" s="705"/>
      <c r="F174" s="705"/>
      <c r="G174" s="706"/>
      <c r="H174" s="702" t="str">
        <f>$H$13</f>
        <v>Variable Costs</v>
      </c>
      <c r="I174" s="702">
        <f t="shared" ref="I174:N174" si="45">I124</f>
        <v>0.74</v>
      </c>
      <c r="J174" s="702">
        <f t="shared" si="45"/>
        <v>1.46</v>
      </c>
      <c r="K174" s="702">
        <f t="shared" si="45"/>
        <v>4.96</v>
      </c>
      <c r="L174" s="702">
        <f t="shared" si="45"/>
        <v>0.12</v>
      </c>
      <c r="M174" s="702">
        <f t="shared" si="45"/>
        <v>2.4</v>
      </c>
      <c r="N174" s="702">
        <f t="shared" si="45"/>
        <v>9.4</v>
      </c>
      <c r="O174" s="690" t="str">
        <f>$O$13</f>
        <v>Total Cost ($/Acre)</v>
      </c>
      <c r="P174" s="198" t="s">
        <v>417</v>
      </c>
      <c r="Q174" s="532"/>
      <c r="R174" s="532"/>
      <c r="S174" s="532"/>
      <c r="T174" s="532"/>
      <c r="U174" s="121"/>
      <c r="V174" s="121"/>
      <c r="W174" s="121"/>
      <c r="X174" s="121"/>
      <c r="Y174" s="121"/>
      <c r="Z174" s="121"/>
      <c r="AA174" s="121"/>
      <c r="AB174" s="121"/>
      <c r="AC174" s="532"/>
      <c r="AD174" s="532"/>
      <c r="AE174" s="532"/>
      <c r="AF174" s="532"/>
      <c r="AG174" s="532"/>
      <c r="AH174" s="532"/>
      <c r="AI174" s="532"/>
      <c r="AJ174" s="532"/>
      <c r="AK174" s="532"/>
      <c r="AL174" s="532"/>
      <c r="AM174" s="532"/>
      <c r="AN174" s="532"/>
      <c r="AO174" s="532"/>
      <c r="AP174" s="532"/>
      <c r="AQ174" s="532"/>
      <c r="AR174" s="532"/>
      <c r="AS174" s="532"/>
      <c r="AT174" s="532"/>
      <c r="AU174" s="532"/>
      <c r="AV174" s="532"/>
      <c r="AW174" s="532"/>
      <c r="AX174" s="532"/>
      <c r="AY174" s="532"/>
    </row>
    <row r="175" spans="1:51" s="154" customFormat="1" ht="12.75" x14ac:dyDescent="0.2">
      <c r="B175" s="714" t="str">
        <f>$B$14</f>
        <v>Operation</v>
      </c>
      <c r="C175" s="476"/>
      <c r="D175" s="694" t="str">
        <f>$D$14</f>
        <v>Depreciation</v>
      </c>
      <c r="E175" s="694" t="str">
        <f>$E$14</f>
        <v>Interest</v>
      </c>
      <c r="F175" s="694" t="str">
        <f>$F$14</f>
        <v>Taxes, housing, insurance, licenses</v>
      </c>
      <c r="G175" s="690" t="str">
        <f>$G$14</f>
        <v>Total Fixed Costs</v>
      </c>
      <c r="H175" s="694" t="str">
        <f>$H$14</f>
        <v>Repairs</v>
      </c>
      <c r="I175" s="694" t="str">
        <f>$I$14</f>
        <v>Lube Cost</v>
      </c>
      <c r="J175" s="703" t="str">
        <f>$J$14</f>
        <v>Fuel</v>
      </c>
      <c r="K175" s="703">
        <f>K129</f>
        <v>0</v>
      </c>
      <c r="L175" s="703" t="str">
        <f>$L$14</f>
        <v>Labor</v>
      </c>
      <c r="M175" s="703">
        <f>M129</f>
        <v>0</v>
      </c>
      <c r="N175" s="690" t="str">
        <f>$N$14</f>
        <v>Total Variable Costs</v>
      </c>
      <c r="O175" s="713"/>
      <c r="P175" s="590" t="s">
        <v>459</v>
      </c>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c r="AM175" s="532"/>
      <c r="AN175" s="532"/>
      <c r="AO175" s="532"/>
      <c r="AP175" s="532"/>
      <c r="AQ175" s="532"/>
      <c r="AR175" s="532"/>
      <c r="AS175" s="532"/>
      <c r="AT175" s="532"/>
      <c r="AU175" s="532"/>
      <c r="AV175" s="532"/>
      <c r="AW175" s="532"/>
      <c r="AX175" s="532"/>
      <c r="AY175" s="532"/>
    </row>
    <row r="176" spans="1:51" s="154" customFormat="1" ht="39" customHeight="1" x14ac:dyDescent="0.2">
      <c r="B176" s="715" t="str">
        <f>B130</f>
        <v>300HP Tractor &amp; 48' spring tooth harrow</v>
      </c>
      <c r="C176" s="475" t="s">
        <v>208</v>
      </c>
      <c r="D176" s="695"/>
      <c r="E176" s="695"/>
      <c r="F176" s="695"/>
      <c r="G176" s="691"/>
      <c r="H176" s="700">
        <f>H130</f>
        <v>0</v>
      </c>
      <c r="I176" s="700">
        <f>I130</f>
        <v>0</v>
      </c>
      <c r="J176" s="474" t="str">
        <f>$J$15</f>
        <v>Fuel Use gal/acre</v>
      </c>
      <c r="K176" s="474" t="str">
        <f>$K$15</f>
        <v>Fuel Cost</v>
      </c>
      <c r="L176" s="474" t="str">
        <f>$L$15</f>
        <v>Labor hrs/acre</v>
      </c>
      <c r="M176" s="474" t="str">
        <f>$M$15</f>
        <v>Labor Cost</v>
      </c>
      <c r="N176" s="691"/>
      <c r="O176" s="691"/>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c r="AM176" s="532"/>
      <c r="AN176" s="532"/>
      <c r="AO176" s="532"/>
      <c r="AP176" s="532"/>
      <c r="AQ176" s="532"/>
      <c r="AR176" s="532"/>
      <c r="AS176" s="532"/>
      <c r="AT176" s="532"/>
      <c r="AU176" s="532"/>
      <c r="AV176" s="532"/>
      <c r="AW176" s="532"/>
      <c r="AX176" s="532"/>
      <c r="AY176" s="532"/>
    </row>
    <row r="177" spans="1:51" s="154" customFormat="1" ht="12.75" x14ac:dyDescent="0.2">
      <c r="B177" s="165" t="str">
        <f>$B$16</f>
        <v>Seasonal operations:</v>
      </c>
      <c r="C177" s="457"/>
      <c r="D177" s="460"/>
      <c r="E177" s="460"/>
      <c r="F177" s="460"/>
      <c r="G177" s="461"/>
      <c r="H177" s="166"/>
      <c r="I177" s="166"/>
      <c r="J177" s="170"/>
      <c r="K177" s="170"/>
      <c r="L177" s="170"/>
      <c r="M177" s="170"/>
      <c r="N177" s="171"/>
      <c r="O177" s="167"/>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c r="AM177" s="532"/>
      <c r="AN177" s="532"/>
      <c r="AO177" s="532"/>
      <c r="AP177" s="532"/>
      <c r="AQ177" s="532"/>
      <c r="AR177" s="532"/>
      <c r="AS177" s="532"/>
      <c r="AT177" s="532"/>
      <c r="AU177" s="532"/>
      <c r="AV177" s="532"/>
      <c r="AW177" s="532"/>
      <c r="AX177" s="532"/>
      <c r="AY177" s="532"/>
    </row>
    <row r="178" spans="1:51" ht="15" x14ac:dyDescent="0.25">
      <c r="A178" s="532"/>
      <c r="B178" s="164" t="str">
        <f>$B$17</f>
        <v>Self-propelled sprayer</v>
      </c>
      <c r="C178" s="459">
        <v>1</v>
      </c>
      <c r="D178" s="173">
        <f>$D$17*$C178</f>
        <v>1.82</v>
      </c>
      <c r="E178" s="173">
        <f>$E$17*$C178</f>
        <v>1.88</v>
      </c>
      <c r="F178" s="173">
        <f>$F$17*$C178</f>
        <v>0.93</v>
      </c>
      <c r="G178" s="464">
        <f>SUM(D178:F178)</f>
        <v>4.63</v>
      </c>
      <c r="H178" s="173">
        <f>$H$17*$C178</f>
        <v>0.44</v>
      </c>
      <c r="I178" s="173">
        <f>$I$17*$C178</f>
        <v>0.02</v>
      </c>
      <c r="J178" s="174">
        <f>$J$17*$C178</f>
        <v>0.04</v>
      </c>
      <c r="K178" s="173">
        <f>$K$17*$C178</f>
        <v>0.14000000000000001</v>
      </c>
      <c r="L178" s="174">
        <f>$L$17*$C178</f>
        <v>0.02</v>
      </c>
      <c r="M178" s="175">
        <f>$M$17*$C178</f>
        <v>0.4</v>
      </c>
      <c r="N178" s="239">
        <f t="shared" ref="N178:N183" si="46">SUM(H178,I178,K178,M178)</f>
        <v>1</v>
      </c>
      <c r="O178" s="176"/>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c r="AM178" s="532"/>
      <c r="AN178" s="532"/>
      <c r="AO178" s="532"/>
      <c r="AP178" s="532"/>
      <c r="AQ178" s="532"/>
      <c r="AR178" s="532"/>
      <c r="AS178" s="532"/>
      <c r="AT178" s="532"/>
      <c r="AU178" s="532"/>
      <c r="AV178" s="532"/>
      <c r="AW178" s="532"/>
      <c r="AX178" s="532"/>
      <c r="AY178" s="532"/>
    </row>
    <row r="179" spans="1:51" ht="15" x14ac:dyDescent="0.25">
      <c r="A179" s="532"/>
      <c r="B179" s="164" t="str">
        <f>$B$18</f>
        <v>300HP Tractor &amp; 90' sprayer</v>
      </c>
      <c r="C179" s="459">
        <v>0</v>
      </c>
      <c r="D179" s="173">
        <f>$D$18*$C179</f>
        <v>0</v>
      </c>
      <c r="E179" s="173">
        <f>$E$18*$C179</f>
        <v>0</v>
      </c>
      <c r="F179" s="173">
        <f>$F$18*$C179</f>
        <v>0</v>
      </c>
      <c r="G179" s="464">
        <f>SUM(D179:F179)</f>
        <v>0</v>
      </c>
      <c r="H179" s="173">
        <f>$H$18*$C179</f>
        <v>0</v>
      </c>
      <c r="I179" s="173">
        <f>$I$18*$C179</f>
        <v>0</v>
      </c>
      <c r="J179" s="174">
        <f>$J$18*$C179</f>
        <v>0</v>
      </c>
      <c r="K179" s="173">
        <f>$K$18*$C179</f>
        <v>0</v>
      </c>
      <c r="L179" s="174">
        <f>$L$18*$C179</f>
        <v>0</v>
      </c>
      <c r="M179" s="175">
        <f>$M$18*$C179</f>
        <v>0</v>
      </c>
      <c r="N179" s="239">
        <f t="shared" si="46"/>
        <v>0</v>
      </c>
      <c r="O179" s="176"/>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2"/>
      <c r="AN179" s="532"/>
      <c r="AO179" s="532"/>
      <c r="AP179" s="532"/>
      <c r="AQ179" s="532"/>
      <c r="AR179" s="532"/>
      <c r="AS179" s="532"/>
      <c r="AT179" s="532"/>
      <c r="AU179" s="532"/>
      <c r="AV179" s="532"/>
      <c r="AW179" s="532"/>
      <c r="AX179" s="532"/>
      <c r="AY179" s="532"/>
    </row>
    <row r="180" spans="1:51" s="154" customFormat="1" ht="15" x14ac:dyDescent="0.25">
      <c r="B180" s="164" t="str">
        <f>$B$20</f>
        <v>300HP Tractor &amp; 26' shredder</v>
      </c>
      <c r="C180" s="459">
        <v>0</v>
      </c>
      <c r="D180" s="173">
        <f>$D$20*$C180</f>
        <v>0</v>
      </c>
      <c r="E180" s="173">
        <f>$E$20*$C180</f>
        <v>0</v>
      </c>
      <c r="F180" s="173">
        <f>$F$20*$C180</f>
        <v>0</v>
      </c>
      <c r="G180" s="464">
        <f>SUM(D180:F180)</f>
        <v>0</v>
      </c>
      <c r="H180" s="173">
        <f>$H$20*$C180</f>
        <v>0</v>
      </c>
      <c r="I180" s="173">
        <f>$I$20*$C180</f>
        <v>0</v>
      </c>
      <c r="J180" s="174">
        <f>$J$20*$C180</f>
        <v>0</v>
      </c>
      <c r="K180" s="173">
        <f>$K$20*$C180</f>
        <v>0</v>
      </c>
      <c r="L180" s="174">
        <f>$L$20*$C180</f>
        <v>0</v>
      </c>
      <c r="M180" s="175">
        <f>$M$20*$C180</f>
        <v>0</v>
      </c>
      <c r="N180" s="239">
        <f t="shared" si="46"/>
        <v>0</v>
      </c>
      <c r="O180" s="176"/>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row>
    <row r="181" spans="1:51" s="154" customFormat="1" ht="15" x14ac:dyDescent="0.25">
      <c r="B181" s="156" t="str">
        <f>$B$19</f>
        <v>300HP Tractor &amp; 48' rodweeder</v>
      </c>
      <c r="C181" s="459">
        <v>0</v>
      </c>
      <c r="D181" s="173">
        <f>$D$19*$C181</f>
        <v>0</v>
      </c>
      <c r="E181" s="173">
        <f>$E$19*$C181</f>
        <v>0</v>
      </c>
      <c r="F181" s="173">
        <f>$F$19*$C181</f>
        <v>0</v>
      </c>
      <c r="G181" s="464">
        <f>SUM(D181:F181)</f>
        <v>0</v>
      </c>
      <c r="H181" s="173">
        <f>$H$19*$C181</f>
        <v>0</v>
      </c>
      <c r="I181" s="173">
        <f>$I$19*$C181</f>
        <v>0</v>
      </c>
      <c r="J181" s="174">
        <f>$J$19*$C181</f>
        <v>0</v>
      </c>
      <c r="K181" s="173">
        <f>$K$19*$C181</f>
        <v>0</v>
      </c>
      <c r="L181" s="174">
        <f>$L$19*$C181</f>
        <v>0</v>
      </c>
      <c r="M181" s="175">
        <f>$M$19*$C181</f>
        <v>0</v>
      </c>
      <c r="N181" s="239">
        <f t="shared" si="46"/>
        <v>0</v>
      </c>
      <c r="O181" s="176"/>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c r="AM181" s="532"/>
      <c r="AN181" s="532"/>
      <c r="AO181" s="532"/>
      <c r="AP181" s="532"/>
      <c r="AQ181" s="532"/>
      <c r="AR181" s="532"/>
      <c r="AS181" s="532"/>
      <c r="AT181" s="532"/>
      <c r="AU181" s="532"/>
      <c r="AV181" s="532"/>
      <c r="AW181" s="532"/>
      <c r="AX181" s="532"/>
      <c r="AY181" s="532"/>
    </row>
    <row r="182" spans="1:51" s="154" customFormat="1" ht="15" x14ac:dyDescent="0.25">
      <c r="B182" s="164" t="str">
        <f>$B$21</f>
        <v>300HP Tractor &amp; 34' tandem disk</v>
      </c>
      <c r="C182" s="459">
        <v>0</v>
      </c>
      <c r="D182" s="173">
        <f>$D$21*$C182</f>
        <v>0</v>
      </c>
      <c r="E182" s="173">
        <f>$E$21*$C182</f>
        <v>0</v>
      </c>
      <c r="F182" s="173">
        <f>$F$21*$C182</f>
        <v>0</v>
      </c>
      <c r="G182" s="464">
        <f t="shared" ref="G182:G190" si="47">SUM(D182:F182)</f>
        <v>0</v>
      </c>
      <c r="H182" s="173">
        <f>$H$21*$C182</f>
        <v>0</v>
      </c>
      <c r="I182" s="173">
        <f>$I$21*$C182</f>
        <v>0</v>
      </c>
      <c r="J182" s="174">
        <f>$J$21*$C182</f>
        <v>0</v>
      </c>
      <c r="K182" s="173">
        <f>$K$21*$C182</f>
        <v>0</v>
      </c>
      <c r="L182" s="174">
        <f>$L$21*$C182</f>
        <v>0</v>
      </c>
      <c r="M182" s="175">
        <f>$M$21*$C182</f>
        <v>0</v>
      </c>
      <c r="N182" s="239">
        <f t="shared" si="46"/>
        <v>0</v>
      </c>
      <c r="O182" s="176"/>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c r="AM182" s="532"/>
      <c r="AN182" s="532"/>
      <c r="AO182" s="532"/>
      <c r="AP182" s="532"/>
      <c r="AQ182" s="532"/>
      <c r="AR182" s="532"/>
      <c r="AS182" s="532"/>
      <c r="AT182" s="532"/>
      <c r="AU182" s="532"/>
      <c r="AV182" s="532"/>
      <c r="AW182" s="532"/>
      <c r="AX182" s="532"/>
      <c r="AY182" s="532"/>
    </row>
    <row r="183" spans="1:51" ht="15" x14ac:dyDescent="0.25">
      <c r="A183" s="532"/>
      <c r="B183" s="164" t="str">
        <f>$B$22</f>
        <v>300HP Tractor &amp; 36' cultiweeder</v>
      </c>
      <c r="C183" s="459">
        <v>1</v>
      </c>
      <c r="D183" s="173">
        <f>$D$22*$C183</f>
        <v>1.42</v>
      </c>
      <c r="E183" s="173">
        <f>$E$22*$C183</f>
        <v>0.92</v>
      </c>
      <c r="F183" s="173">
        <f>$F$22*$C183</f>
        <v>0.15</v>
      </c>
      <c r="G183" s="464">
        <f t="shared" si="47"/>
        <v>2.4899999999999998</v>
      </c>
      <c r="H183" s="173">
        <f>$H$22*$C183</f>
        <v>0.41</v>
      </c>
      <c r="I183" s="173">
        <f>$I$22*$C183</f>
        <v>0.28000000000000003</v>
      </c>
      <c r="J183" s="174">
        <f>$J$22*$C183</f>
        <v>0.55000000000000004</v>
      </c>
      <c r="K183" s="173">
        <f>$K$22*$C183</f>
        <v>1.87</v>
      </c>
      <c r="L183" s="174">
        <f>$L$22*$C183</f>
        <v>0.04</v>
      </c>
      <c r="M183" s="175">
        <f>$M$22*$C183</f>
        <v>0.8</v>
      </c>
      <c r="N183" s="239">
        <f t="shared" si="46"/>
        <v>3.3600000000000003</v>
      </c>
      <c r="O183" s="176"/>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c r="AM183" s="532"/>
      <c r="AN183" s="532"/>
      <c r="AO183" s="532"/>
      <c r="AP183" s="532"/>
      <c r="AQ183" s="532"/>
      <c r="AR183" s="532"/>
      <c r="AS183" s="532"/>
      <c r="AT183" s="532"/>
      <c r="AU183" s="532"/>
      <c r="AV183" s="532"/>
      <c r="AW183" s="532"/>
      <c r="AX183" s="532"/>
      <c r="AY183" s="532"/>
    </row>
    <row r="184" spans="1:51" s="154" customFormat="1" ht="15" x14ac:dyDescent="0.25">
      <c r="B184" s="156" t="str">
        <f>$B$23</f>
        <v>300HP Tractor &amp; 35' chisel plow</v>
      </c>
      <c r="C184" s="459">
        <v>1</v>
      </c>
      <c r="D184" s="173">
        <f>$D$23*$C184</f>
        <v>2.17</v>
      </c>
      <c r="E184" s="173">
        <f>$E$23*$C184</f>
        <v>1.41</v>
      </c>
      <c r="F184" s="173">
        <f>$F$23*$C184</f>
        <v>0.24</v>
      </c>
      <c r="G184" s="464">
        <f t="shared" si="47"/>
        <v>3.8200000000000003</v>
      </c>
      <c r="H184" s="173">
        <f>$H$23*$C184</f>
        <v>0.79</v>
      </c>
      <c r="I184" s="173">
        <f>$I$23*$C184</f>
        <v>0.48</v>
      </c>
      <c r="J184" s="174">
        <f>$J$23*$C184</f>
        <v>0.95</v>
      </c>
      <c r="K184" s="173">
        <f>$K$23*$C184</f>
        <v>3.23</v>
      </c>
      <c r="L184" s="174">
        <f>$L$23*$C184</f>
        <v>0.08</v>
      </c>
      <c r="M184" s="175">
        <f>$M$23*$C184</f>
        <v>1.6</v>
      </c>
      <c r="N184" s="239">
        <f t="shared" ref="N184:N190" si="48">SUM(H184,I184,K184,M184)</f>
        <v>6.1</v>
      </c>
      <c r="O184" s="176"/>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c r="AM184" s="532"/>
      <c r="AN184" s="532"/>
      <c r="AO184" s="532"/>
      <c r="AP184" s="532"/>
      <c r="AQ184" s="532"/>
      <c r="AR184" s="532"/>
      <c r="AS184" s="532"/>
      <c r="AT184" s="532"/>
      <c r="AU184" s="532"/>
      <c r="AV184" s="532"/>
      <c r="AW184" s="532"/>
      <c r="AX184" s="532"/>
      <c r="AY184" s="532"/>
    </row>
    <row r="185" spans="1:51" s="154" customFormat="1" ht="15" x14ac:dyDescent="0.25">
      <c r="B185" s="156" t="str">
        <f>$B$24</f>
        <v>300HP Tractor &amp; 36' cultivator</v>
      </c>
      <c r="C185" s="459">
        <v>0</v>
      </c>
      <c r="D185" s="173">
        <f>$D$24*$C185</f>
        <v>0</v>
      </c>
      <c r="E185" s="173">
        <f>$E$24*$C185</f>
        <v>0</v>
      </c>
      <c r="F185" s="173">
        <f>$F$24*$C185</f>
        <v>0</v>
      </c>
      <c r="G185" s="464">
        <f t="shared" si="47"/>
        <v>0</v>
      </c>
      <c r="H185" s="173">
        <f>$H$24*$C185</f>
        <v>0</v>
      </c>
      <c r="I185" s="173">
        <f>$I$24*$C185</f>
        <v>0</v>
      </c>
      <c r="J185" s="174">
        <f>$J$24*$C185</f>
        <v>0</v>
      </c>
      <c r="K185" s="173">
        <f>$K$24*$C185</f>
        <v>0</v>
      </c>
      <c r="L185" s="174">
        <f>$L$24*$C185</f>
        <v>0</v>
      </c>
      <c r="M185" s="175">
        <f>$M$24*$C185</f>
        <v>0</v>
      </c>
      <c r="N185" s="239">
        <f t="shared" si="48"/>
        <v>0</v>
      </c>
      <c r="O185" s="176"/>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c r="AM185" s="532"/>
      <c r="AN185" s="532"/>
      <c r="AO185" s="532"/>
      <c r="AP185" s="532"/>
      <c r="AQ185" s="532"/>
      <c r="AR185" s="532"/>
      <c r="AS185" s="532"/>
      <c r="AT185" s="532"/>
      <c r="AU185" s="532"/>
      <c r="AV185" s="532"/>
      <c r="AW185" s="532"/>
      <c r="AX185" s="532"/>
      <c r="AY185" s="532"/>
    </row>
    <row r="186" spans="1:51" s="154" customFormat="1" ht="15" x14ac:dyDescent="0.25">
      <c r="B186" s="156" t="str">
        <f>$B$25</f>
        <v>300HP Tractor &amp; 48' spring tooth harrow</v>
      </c>
      <c r="C186" s="459">
        <v>0</v>
      </c>
      <c r="D186" s="173">
        <f>$D$25*$C186</f>
        <v>0</v>
      </c>
      <c r="E186" s="173">
        <f>$E$25*$C186</f>
        <v>0</v>
      </c>
      <c r="F186" s="173">
        <f>$F$25*$C186</f>
        <v>0</v>
      </c>
      <c r="G186" s="464">
        <f t="shared" si="47"/>
        <v>0</v>
      </c>
      <c r="H186" s="173">
        <f>$H$25*$C186</f>
        <v>0</v>
      </c>
      <c r="I186" s="173">
        <f>$I$25*$C186</f>
        <v>0</v>
      </c>
      <c r="J186" s="174">
        <f>$J$25*$C186</f>
        <v>0</v>
      </c>
      <c r="K186" s="173">
        <f>$K$25*$C186</f>
        <v>0</v>
      </c>
      <c r="L186" s="174">
        <f>$L$25*$C186</f>
        <v>0</v>
      </c>
      <c r="M186" s="175">
        <f>$M$25*$C186</f>
        <v>0</v>
      </c>
      <c r="N186" s="239">
        <f t="shared" si="48"/>
        <v>0</v>
      </c>
      <c r="O186" s="176"/>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N186" s="532"/>
      <c r="AO186" s="532"/>
      <c r="AP186" s="532"/>
      <c r="AQ186" s="532"/>
      <c r="AR186" s="532"/>
      <c r="AS186" s="532"/>
      <c r="AT186" s="532"/>
      <c r="AU186" s="532"/>
      <c r="AV186" s="532"/>
      <c r="AW186" s="532"/>
      <c r="AX186" s="532"/>
      <c r="AY186" s="532"/>
    </row>
    <row r="187" spans="1:51" s="154" customFormat="1" ht="15" x14ac:dyDescent="0.25">
      <c r="B187" s="156" t="str">
        <f>$B$26</f>
        <v>300HP Tractor &amp; 36' grain drill</v>
      </c>
      <c r="C187" s="459">
        <v>1</v>
      </c>
      <c r="D187" s="173">
        <f>$D$26*$C187</f>
        <v>1.54</v>
      </c>
      <c r="E187" s="173">
        <f>$E$26*$C187</f>
        <v>1.4</v>
      </c>
      <c r="F187" s="173">
        <f>$F$26*$C187</f>
        <v>0.49</v>
      </c>
      <c r="G187" s="464">
        <f t="shared" si="47"/>
        <v>3.4299999999999997</v>
      </c>
      <c r="H187" s="173">
        <f>$H$26*$C187</f>
        <v>1.02</v>
      </c>
      <c r="I187" s="173">
        <f>$I$26*$C187</f>
        <v>0.56999999999999995</v>
      </c>
      <c r="J187" s="174">
        <f>$J$26*$C187</f>
        <v>1.1200000000000001</v>
      </c>
      <c r="K187" s="173">
        <f>$K$26*$C187</f>
        <v>3.81</v>
      </c>
      <c r="L187" s="174">
        <f>$L$26*$C187</f>
        <v>0.09</v>
      </c>
      <c r="M187" s="175">
        <f>$M$26*$C187</f>
        <v>1.8</v>
      </c>
      <c r="N187" s="239">
        <f t="shared" si="48"/>
        <v>7.2</v>
      </c>
      <c r="O187" s="176"/>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c r="AM187" s="532"/>
      <c r="AN187" s="532"/>
      <c r="AO187" s="532"/>
      <c r="AP187" s="532"/>
      <c r="AQ187" s="532"/>
      <c r="AR187" s="532"/>
      <c r="AS187" s="532"/>
      <c r="AT187" s="532"/>
      <c r="AU187" s="532"/>
      <c r="AV187" s="532"/>
      <c r="AW187" s="532"/>
      <c r="AX187" s="532"/>
      <c r="AY187" s="532"/>
    </row>
    <row r="188" spans="1:51" s="154" customFormat="1" ht="15" x14ac:dyDescent="0.25">
      <c r="B188" s="168" t="str">
        <f>$B$27</f>
        <v>Combine &amp; 30' header  *4 mph harvest speed*</v>
      </c>
      <c r="C188" s="459">
        <v>0</v>
      </c>
      <c r="D188" s="173">
        <f>$D$27*$C188</f>
        <v>0</v>
      </c>
      <c r="E188" s="173">
        <f>$E$27*$C188</f>
        <v>0</v>
      </c>
      <c r="F188" s="173">
        <f>$F$27*$C188</f>
        <v>0</v>
      </c>
      <c r="G188" s="464">
        <f t="shared" si="47"/>
        <v>0</v>
      </c>
      <c r="H188" s="173">
        <f>$H$27*$C188</f>
        <v>0</v>
      </c>
      <c r="I188" s="173">
        <f>$I$27*$C188</f>
        <v>0</v>
      </c>
      <c r="J188" s="174">
        <f>$J$27*$C188</f>
        <v>0</v>
      </c>
      <c r="K188" s="173">
        <f>$K$27*$C188</f>
        <v>0</v>
      </c>
      <c r="L188" s="174">
        <f>$L$27*$C188</f>
        <v>0</v>
      </c>
      <c r="M188" s="175">
        <f>$M$27*$C188</f>
        <v>0</v>
      </c>
      <c r="N188" s="239">
        <f t="shared" si="48"/>
        <v>0</v>
      </c>
      <c r="O188" s="176"/>
      <c r="P188" s="533"/>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c r="AM188" s="532"/>
      <c r="AN188" s="532"/>
      <c r="AO188" s="532"/>
      <c r="AP188" s="532"/>
      <c r="AQ188" s="532"/>
      <c r="AR188" s="532"/>
      <c r="AS188" s="532"/>
      <c r="AT188" s="532"/>
      <c r="AU188" s="532"/>
      <c r="AV188" s="532"/>
      <c r="AW188" s="532"/>
      <c r="AX188" s="532"/>
      <c r="AY188" s="532"/>
    </row>
    <row r="189" spans="1:51" ht="15" x14ac:dyDescent="0.25">
      <c r="A189" s="532"/>
      <c r="B189" s="168" t="str">
        <f>$B$28</f>
        <v>Combine &amp; 30' header *3 mph harvest speed*</v>
      </c>
      <c r="C189" s="459">
        <v>1</v>
      </c>
      <c r="D189" s="173">
        <f>$D$28*$C189</f>
        <v>3.31</v>
      </c>
      <c r="E189" s="173">
        <f>$E$28*$C189</f>
        <v>2.94</v>
      </c>
      <c r="F189" s="173">
        <f>$F$28*$C189</f>
        <v>1.23</v>
      </c>
      <c r="G189" s="464">
        <f t="shared" si="47"/>
        <v>7.48</v>
      </c>
      <c r="H189" s="173">
        <f>$H$28*$C189</f>
        <v>3.06</v>
      </c>
      <c r="I189" s="173">
        <f>$I$28*$C189</f>
        <v>0.36</v>
      </c>
      <c r="J189" s="174">
        <f>$J$28*$C189</f>
        <v>0.7</v>
      </c>
      <c r="K189" s="173">
        <f>$K$28*$C189</f>
        <v>2.38</v>
      </c>
      <c r="L189" s="174">
        <f>$L$28*$C189</f>
        <v>0.12</v>
      </c>
      <c r="M189" s="175">
        <f>$M$28*$C189</f>
        <v>2.4</v>
      </c>
      <c r="N189" s="239">
        <f t="shared" si="48"/>
        <v>8.1999999999999993</v>
      </c>
      <c r="O189" s="176"/>
      <c r="P189" s="532"/>
      <c r="Q189" s="532"/>
      <c r="R189" s="532"/>
      <c r="S189" s="532"/>
      <c r="T189" s="532"/>
      <c r="U189" s="532"/>
      <c r="V189" s="532"/>
      <c r="W189" s="532"/>
      <c r="X189" s="532"/>
      <c r="Y189" s="532"/>
      <c r="Z189" s="532"/>
      <c r="AA189" s="532"/>
      <c r="AB189" s="532"/>
      <c r="AC189" s="532"/>
      <c r="AD189" s="532"/>
      <c r="AE189" s="532"/>
      <c r="AF189" s="532"/>
      <c r="AG189" s="532"/>
      <c r="AH189" s="532"/>
      <c r="AI189" s="532"/>
      <c r="AJ189" s="532"/>
      <c r="AK189" s="532"/>
      <c r="AL189" s="532"/>
      <c r="AM189" s="532"/>
      <c r="AN189" s="532"/>
      <c r="AO189" s="532"/>
      <c r="AP189" s="532"/>
      <c r="AQ189" s="532"/>
      <c r="AR189" s="532"/>
      <c r="AS189" s="532"/>
      <c r="AT189" s="532"/>
      <c r="AU189" s="532"/>
      <c r="AV189" s="532"/>
      <c r="AW189" s="532"/>
      <c r="AX189" s="532"/>
      <c r="AY189" s="532"/>
    </row>
    <row r="190" spans="1:51" s="154" customFormat="1" ht="15" x14ac:dyDescent="0.25">
      <c r="B190" s="168" t="str">
        <f>$B$29</f>
        <v>300HP Tractor &amp; Bankout wagon</v>
      </c>
      <c r="C190" s="459">
        <v>1</v>
      </c>
      <c r="D190" s="173">
        <f>$D$29*$C190</f>
        <v>0.9163</v>
      </c>
      <c r="E190" s="173">
        <f>$E$29*$C190</f>
        <v>0.53899999999999992</v>
      </c>
      <c r="F190" s="173">
        <f>$F$29*$C190</f>
        <v>8.4699999999999998E-2</v>
      </c>
      <c r="G190" s="464">
        <f t="shared" si="47"/>
        <v>1.5399999999999998</v>
      </c>
      <c r="H190" s="173">
        <f>$H$29*$C190</f>
        <v>0.40810000000000002</v>
      </c>
      <c r="I190" s="173">
        <f>$I$29*$C190</f>
        <v>0.25</v>
      </c>
      <c r="J190" s="174">
        <f>$J$29*$C190</f>
        <v>0.49</v>
      </c>
      <c r="K190" s="173">
        <f>$K$29*$C190</f>
        <v>1.67</v>
      </c>
      <c r="L190" s="174">
        <f>$L$29*$C190</f>
        <v>0.09</v>
      </c>
      <c r="M190" s="175">
        <f>$M$29*$C190</f>
        <v>1.8</v>
      </c>
      <c r="N190" s="239">
        <f t="shared" si="48"/>
        <v>4.1280999999999999</v>
      </c>
      <c r="O190" s="176"/>
      <c r="P190" s="532"/>
      <c r="Q190" s="532"/>
      <c r="R190" s="532"/>
      <c r="S190" s="532"/>
      <c r="T190" s="532"/>
      <c r="U190" s="532"/>
      <c r="V190" s="532"/>
      <c r="W190" s="532"/>
      <c r="X190" s="532"/>
      <c r="Y190" s="532"/>
      <c r="Z190" s="532"/>
      <c r="AA190" s="532"/>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2"/>
      <c r="AY190" s="532"/>
    </row>
    <row r="191" spans="1:51" s="154" customFormat="1" ht="15" x14ac:dyDescent="0.25">
      <c r="B191" s="255" t="str">
        <f>$B$30</f>
        <v>Annual Costs:</v>
      </c>
      <c r="C191" s="454"/>
      <c r="D191" s="268"/>
      <c r="E191" s="268"/>
      <c r="F191" s="268"/>
      <c r="G191" s="465"/>
      <c r="H191" s="269"/>
      <c r="I191" s="269"/>
      <c r="J191" s="270"/>
      <c r="K191" s="269"/>
      <c r="L191" s="270"/>
      <c r="M191" s="271"/>
      <c r="N191" s="272"/>
      <c r="O191" s="273"/>
      <c r="P191" s="532"/>
      <c r="Q191" s="532"/>
      <c r="R191" s="532"/>
      <c r="S191" s="532"/>
      <c r="T191" s="532"/>
      <c r="U191" s="532"/>
      <c r="V191" s="532"/>
      <c r="W191" s="532"/>
      <c r="X191" s="532"/>
      <c r="Y191" s="532"/>
      <c r="Z191" s="532"/>
      <c r="AA191" s="532"/>
      <c r="AB191" s="532"/>
      <c r="AC191" s="532"/>
      <c r="AD191" s="532"/>
      <c r="AE191" s="532"/>
      <c r="AF191" s="532"/>
      <c r="AG191" s="532"/>
      <c r="AH191" s="532"/>
      <c r="AI191" s="532"/>
      <c r="AJ191" s="532"/>
      <c r="AK191" s="532"/>
      <c r="AL191" s="532"/>
      <c r="AM191" s="532"/>
      <c r="AN191" s="532"/>
      <c r="AO191" s="532"/>
      <c r="AP191" s="532"/>
      <c r="AQ191" s="532"/>
      <c r="AR191" s="532"/>
      <c r="AS191" s="532"/>
      <c r="AT191" s="532"/>
      <c r="AU191" s="532"/>
      <c r="AV191" s="532"/>
      <c r="AW191" s="532"/>
      <c r="AX191" s="532"/>
      <c r="AY191" s="532"/>
    </row>
    <row r="192" spans="1:51" s="154" customFormat="1" ht="15" x14ac:dyDescent="0.25">
      <c r="B192" s="261" t="str">
        <f>$B$31</f>
        <v>Tandem axle truck</v>
      </c>
      <c r="C192" s="458"/>
      <c r="D192" s="274">
        <f>$D$31</f>
        <v>0.39</v>
      </c>
      <c r="E192" s="274">
        <f>$E$31</f>
        <v>0.44</v>
      </c>
      <c r="F192" s="274">
        <f>$F$31</f>
        <v>0.72</v>
      </c>
      <c r="G192" s="466">
        <f>$G$31</f>
        <v>1.55</v>
      </c>
      <c r="H192" s="274">
        <f>$H$31</f>
        <v>0.56999999999999995</v>
      </c>
      <c r="I192" s="274">
        <f>$I$31</f>
        <v>0.04</v>
      </c>
      <c r="J192" s="275">
        <f>$J$31</f>
        <v>7.0000000000000007E-2</v>
      </c>
      <c r="K192" s="274">
        <f>$K$31</f>
        <v>0.24</v>
      </c>
      <c r="L192" s="275">
        <f>$L$31</f>
        <v>0.03</v>
      </c>
      <c r="M192" s="266">
        <f>$M$31</f>
        <v>0.51</v>
      </c>
      <c r="N192" s="276">
        <f t="shared" ref="N192:N197" si="49">SUM(H192,I192,K192,M192)</f>
        <v>1.3599999999999999</v>
      </c>
      <c r="O192" s="277"/>
      <c r="P192" s="532"/>
      <c r="Q192" s="532"/>
      <c r="R192" s="532"/>
      <c r="S192" s="532"/>
      <c r="T192" s="532"/>
      <c r="U192" s="532"/>
      <c r="V192" s="532"/>
      <c r="W192" s="532"/>
      <c r="X192" s="532"/>
      <c r="Y192" s="532"/>
      <c r="Z192" s="532"/>
      <c r="AA192" s="532"/>
      <c r="AB192" s="532"/>
      <c r="AC192" s="532"/>
      <c r="AD192" s="532"/>
      <c r="AE192" s="532"/>
      <c r="AF192" s="532"/>
      <c r="AG192" s="532"/>
      <c r="AH192" s="532"/>
      <c r="AI192" s="532"/>
      <c r="AJ192" s="532"/>
      <c r="AK192" s="532"/>
      <c r="AL192" s="532"/>
      <c r="AM192" s="532"/>
      <c r="AN192" s="532"/>
      <c r="AO192" s="532"/>
      <c r="AP192" s="532"/>
      <c r="AQ192" s="532"/>
      <c r="AR192" s="532"/>
      <c r="AS192" s="532"/>
      <c r="AT192" s="532"/>
      <c r="AU192" s="532"/>
      <c r="AV192" s="532"/>
      <c r="AW192" s="532"/>
      <c r="AX192" s="532"/>
      <c r="AY192" s="532"/>
    </row>
    <row r="193" spans="1:51" s="154" customFormat="1" ht="15" x14ac:dyDescent="0.25">
      <c r="B193" s="261" t="str">
        <f>$B$32</f>
        <v>Tandem axle truck</v>
      </c>
      <c r="C193" s="458"/>
      <c r="D193" s="274">
        <f>$D$32</f>
        <v>0.39</v>
      </c>
      <c r="E193" s="274">
        <f>$E$32</f>
        <v>0.44</v>
      </c>
      <c r="F193" s="274">
        <f>$F$32</f>
        <v>0.72</v>
      </c>
      <c r="G193" s="466">
        <f>$G$32</f>
        <v>1.55</v>
      </c>
      <c r="H193" s="274">
        <f>$H$32</f>
        <v>0.56999999999999995</v>
      </c>
      <c r="I193" s="274">
        <f>$I$32</f>
        <v>0.04</v>
      </c>
      <c r="J193" s="275">
        <f>$J$32</f>
        <v>7.0000000000000007E-2</v>
      </c>
      <c r="K193" s="274">
        <f>$K$32</f>
        <v>0.24</v>
      </c>
      <c r="L193" s="275">
        <f>$L$32</f>
        <v>0.03</v>
      </c>
      <c r="M193" s="266">
        <f>$M$32</f>
        <v>0.51</v>
      </c>
      <c r="N193" s="276">
        <f t="shared" si="49"/>
        <v>1.3599999999999999</v>
      </c>
      <c r="O193" s="277"/>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c r="AM193" s="532"/>
      <c r="AN193" s="532"/>
      <c r="AO193" s="532"/>
      <c r="AP193" s="532"/>
      <c r="AQ193" s="532"/>
      <c r="AR193" s="532"/>
      <c r="AS193" s="532"/>
      <c r="AT193" s="532"/>
      <c r="AU193" s="532"/>
      <c r="AV193" s="532"/>
      <c r="AW193" s="532"/>
      <c r="AX193" s="532"/>
      <c r="AY193" s="532"/>
    </row>
    <row r="194" spans="1:51" s="154" customFormat="1" ht="15" x14ac:dyDescent="0.25">
      <c r="B194" s="261" t="str">
        <f>$B$33</f>
        <v>2-ton truck</v>
      </c>
      <c r="C194" s="458"/>
      <c r="D194" s="274">
        <f>$D$33</f>
        <v>0.32</v>
      </c>
      <c r="E194" s="274">
        <f>$E$33</f>
        <v>0.26</v>
      </c>
      <c r="F194" s="274">
        <f>$F$33</f>
        <v>0.42</v>
      </c>
      <c r="G194" s="466">
        <f>$G$33</f>
        <v>1</v>
      </c>
      <c r="H194" s="274">
        <f>$H$33</f>
        <v>0.28999999999999998</v>
      </c>
      <c r="I194" s="274">
        <f>$I$33</f>
        <v>0.03</v>
      </c>
      <c r="J194" s="275">
        <f>$J$33</f>
        <v>0.05</v>
      </c>
      <c r="K194" s="274">
        <f>$K$33</f>
        <v>0.17</v>
      </c>
      <c r="L194" s="275">
        <f>$L$33</f>
        <v>0.02</v>
      </c>
      <c r="M194" s="266">
        <f>$M$33</f>
        <v>0.34</v>
      </c>
      <c r="N194" s="276">
        <f t="shared" si="49"/>
        <v>0.83000000000000007</v>
      </c>
      <c r="O194" s="277"/>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row>
    <row r="195" spans="1:51" s="154" customFormat="1" ht="15" x14ac:dyDescent="0.25">
      <c r="B195" s="261" t="str">
        <f>$B$34</f>
        <v>Trap wagon</v>
      </c>
      <c r="C195" s="458"/>
      <c r="D195" s="274">
        <f>$D$34</f>
        <v>0.35</v>
      </c>
      <c r="E195" s="274">
        <f>$E$34</f>
        <v>0.16</v>
      </c>
      <c r="F195" s="274">
        <f>$F$34</f>
        <v>0.26</v>
      </c>
      <c r="G195" s="466">
        <f>$G$34</f>
        <v>0.77</v>
      </c>
      <c r="H195" s="274">
        <f>$H$34</f>
        <v>0.12</v>
      </c>
      <c r="I195" s="274">
        <f>$I$34</f>
        <v>0.03</v>
      </c>
      <c r="J195" s="275">
        <f>$J$34</f>
        <v>0.05</v>
      </c>
      <c r="K195" s="274">
        <f>$K$34</f>
        <v>0.17</v>
      </c>
      <c r="L195" s="275">
        <f>$L$34</f>
        <v>0.02</v>
      </c>
      <c r="M195" s="266">
        <f>$M$34</f>
        <v>0.34</v>
      </c>
      <c r="N195" s="276">
        <f t="shared" si="49"/>
        <v>0.66</v>
      </c>
      <c r="O195" s="277"/>
      <c r="P195" s="532"/>
      <c r="Q195" s="532"/>
      <c r="R195" s="532"/>
      <c r="S195" s="532"/>
      <c r="T195" s="532"/>
      <c r="U195" s="532"/>
      <c r="V195" s="532"/>
      <c r="W195" s="532"/>
      <c r="X195" s="532"/>
      <c r="Y195" s="532"/>
      <c r="Z195" s="532"/>
      <c r="AA195" s="532"/>
      <c r="AB195" s="532"/>
      <c r="AC195" s="532"/>
      <c r="AD195" s="532"/>
      <c r="AE195" s="532"/>
      <c r="AF195" s="532"/>
      <c r="AG195" s="532"/>
      <c r="AH195" s="532"/>
      <c r="AI195" s="532"/>
      <c r="AJ195" s="532"/>
      <c r="AK195" s="532"/>
      <c r="AL195" s="532"/>
      <c r="AM195" s="532"/>
      <c r="AN195" s="532"/>
      <c r="AO195" s="532"/>
      <c r="AP195" s="532"/>
      <c r="AQ195" s="532"/>
      <c r="AR195" s="532"/>
      <c r="AS195" s="532"/>
      <c r="AT195" s="532"/>
      <c r="AU195" s="532"/>
      <c r="AV195" s="532"/>
      <c r="AW195" s="532"/>
      <c r="AX195" s="532"/>
      <c r="AY195" s="532"/>
    </row>
    <row r="196" spans="1:51" s="154" customFormat="1" ht="15" x14ac:dyDescent="0.25">
      <c r="B196" s="261" t="str">
        <f>$B$35</f>
        <v>3/4-ton pick-up</v>
      </c>
      <c r="C196" s="458"/>
      <c r="D196" s="274">
        <f>$D$35</f>
        <v>0.6</v>
      </c>
      <c r="E196" s="274">
        <f>$E$35</f>
        <v>0.42</v>
      </c>
      <c r="F196" s="274">
        <f>$F$35</f>
        <v>0.45</v>
      </c>
      <c r="G196" s="466">
        <f>$G$35</f>
        <v>1.47</v>
      </c>
      <c r="H196" s="274">
        <f>$H$35</f>
        <v>0.17</v>
      </c>
      <c r="I196" s="274">
        <f>$I$35</f>
        <v>0.02</v>
      </c>
      <c r="J196" s="275">
        <f>$J$35</f>
        <v>0.03</v>
      </c>
      <c r="K196" s="274">
        <f>$K$35</f>
        <v>0.11</v>
      </c>
      <c r="L196" s="275">
        <f>$L$35</f>
        <v>0.01</v>
      </c>
      <c r="M196" s="266">
        <f>$M$35</f>
        <v>0.17</v>
      </c>
      <c r="N196" s="276">
        <f t="shared" si="49"/>
        <v>0.47</v>
      </c>
      <c r="O196" s="277"/>
      <c r="P196" s="532"/>
      <c r="Q196" s="532"/>
      <c r="R196" s="532"/>
      <c r="S196" s="532"/>
      <c r="T196" s="532"/>
      <c r="U196" s="532"/>
      <c r="V196" s="532"/>
      <c r="W196" s="532"/>
      <c r="X196" s="532"/>
      <c r="Y196" s="532"/>
      <c r="Z196" s="532"/>
      <c r="AA196" s="532"/>
      <c r="AB196" s="532"/>
      <c r="AC196" s="532"/>
      <c r="AD196" s="532"/>
      <c r="AE196" s="532"/>
      <c r="AF196" s="532"/>
      <c r="AG196" s="532"/>
      <c r="AH196" s="532"/>
      <c r="AI196" s="532"/>
      <c r="AJ196" s="532"/>
      <c r="AK196" s="532"/>
      <c r="AL196" s="532"/>
      <c r="AM196" s="532"/>
      <c r="AN196" s="532"/>
      <c r="AO196" s="532"/>
      <c r="AP196" s="532"/>
      <c r="AQ196" s="532"/>
      <c r="AR196" s="532"/>
      <c r="AS196" s="532"/>
      <c r="AT196" s="532"/>
      <c r="AU196" s="532"/>
      <c r="AV196" s="532"/>
      <c r="AW196" s="532"/>
      <c r="AX196" s="532"/>
      <c r="AY196" s="532"/>
    </row>
    <row r="197" spans="1:51" s="154" customFormat="1" ht="15" x14ac:dyDescent="0.25">
      <c r="B197" s="261" t="str">
        <f>$B$36</f>
        <v>ATV</v>
      </c>
      <c r="C197" s="458"/>
      <c r="D197" s="274">
        <f>$D$36</f>
        <v>0.25</v>
      </c>
      <c r="E197" s="274">
        <f>$E$36</f>
        <v>0.14000000000000001</v>
      </c>
      <c r="F197" s="274">
        <f>$F$36</f>
        <v>0.03</v>
      </c>
      <c r="G197" s="466">
        <f>$G$36</f>
        <v>0.42000000000000004</v>
      </c>
      <c r="H197" s="274">
        <f>$H$36</f>
        <v>0.05</v>
      </c>
      <c r="I197" s="274">
        <f>$I$36</f>
        <v>0.06</v>
      </c>
      <c r="J197" s="275">
        <f>$J$36</f>
        <v>0.12</v>
      </c>
      <c r="K197" s="274">
        <f>$K$36</f>
        <v>0.42</v>
      </c>
      <c r="L197" s="275">
        <f>$L$36</f>
        <v>0.11</v>
      </c>
      <c r="M197" s="266">
        <f>$M$36</f>
        <v>1.87</v>
      </c>
      <c r="N197" s="276">
        <f t="shared" si="49"/>
        <v>2.4000000000000004</v>
      </c>
      <c r="O197" s="277"/>
      <c r="P197" s="532"/>
      <c r="Q197" s="532"/>
      <c r="R197" s="532"/>
      <c r="S197" s="532"/>
      <c r="T197" s="532"/>
      <c r="U197" s="532"/>
      <c r="V197" s="532"/>
      <c r="W197" s="532"/>
      <c r="X197" s="532"/>
      <c r="Y197" s="532"/>
      <c r="Z197" s="532"/>
      <c r="AA197" s="532"/>
      <c r="AB197" s="532"/>
      <c r="AC197" s="532"/>
      <c r="AD197" s="532"/>
      <c r="AE197" s="532"/>
      <c r="AF197" s="532"/>
      <c r="AG197" s="532"/>
      <c r="AH197" s="532"/>
      <c r="AI197" s="532"/>
      <c r="AJ197" s="532"/>
      <c r="AK197" s="532"/>
      <c r="AL197" s="532"/>
      <c r="AM197" s="532"/>
      <c r="AN197" s="532"/>
      <c r="AO197" s="532"/>
      <c r="AP197" s="532"/>
      <c r="AQ197" s="532"/>
      <c r="AR197" s="532"/>
      <c r="AS197" s="532"/>
      <c r="AT197" s="532"/>
      <c r="AU197" s="532"/>
      <c r="AV197" s="532"/>
      <c r="AW197" s="532"/>
      <c r="AX197" s="532"/>
      <c r="AY197" s="532"/>
    </row>
    <row r="198" spans="1:51" s="154" customFormat="1" ht="13.5" thickBot="1" x14ac:dyDescent="0.25">
      <c r="B198" s="692" t="str">
        <f>$B$37</f>
        <v>Cost $/Acre</v>
      </c>
      <c r="C198" s="693"/>
      <c r="D198" s="237">
        <f t="shared" ref="D198:N198" si="50">SUM(D178:D197)</f>
        <v>13.4763</v>
      </c>
      <c r="E198" s="237">
        <f t="shared" si="50"/>
        <v>10.948999999999998</v>
      </c>
      <c r="F198" s="237">
        <f t="shared" si="50"/>
        <v>5.7246999999999995</v>
      </c>
      <c r="G198" s="237">
        <f t="shared" si="50"/>
        <v>30.150000000000002</v>
      </c>
      <c r="H198" s="237">
        <f t="shared" si="50"/>
        <v>7.8981000000000012</v>
      </c>
      <c r="I198" s="237">
        <f t="shared" si="50"/>
        <v>2.1799999999999997</v>
      </c>
      <c r="J198" s="159">
        <f t="shared" si="50"/>
        <v>4.24</v>
      </c>
      <c r="K198" s="237">
        <f t="shared" si="50"/>
        <v>14.45</v>
      </c>
      <c r="L198" s="159">
        <f t="shared" si="50"/>
        <v>0.66</v>
      </c>
      <c r="M198" s="237">
        <f t="shared" si="50"/>
        <v>12.54</v>
      </c>
      <c r="N198" s="237">
        <f t="shared" si="50"/>
        <v>37.068099999999994</v>
      </c>
      <c r="O198" s="157">
        <f>SUM(G198,N198)</f>
        <v>67.218099999999993</v>
      </c>
      <c r="P198" s="532"/>
      <c r="Q198" s="532"/>
      <c r="R198" s="532"/>
      <c r="S198" s="532"/>
      <c r="T198" s="532"/>
      <c r="U198" s="532"/>
      <c r="V198" s="532"/>
      <c r="W198" s="532"/>
      <c r="X198" s="532"/>
      <c r="Y198" s="532"/>
      <c r="Z198" s="532"/>
      <c r="AA198" s="532"/>
      <c r="AB198" s="532"/>
      <c r="AC198" s="532"/>
      <c r="AD198" s="532"/>
      <c r="AE198" s="532"/>
      <c r="AF198" s="532"/>
      <c r="AG198" s="532"/>
      <c r="AH198" s="532"/>
      <c r="AI198" s="532"/>
      <c r="AJ198" s="532"/>
      <c r="AK198" s="532"/>
      <c r="AL198" s="532"/>
      <c r="AM198" s="532"/>
      <c r="AN198" s="532"/>
      <c r="AO198" s="532"/>
      <c r="AP198" s="532"/>
      <c r="AQ198" s="532"/>
      <c r="AR198" s="532"/>
      <c r="AS198" s="532"/>
      <c r="AT198" s="532"/>
      <c r="AU198" s="532"/>
      <c r="AV198" s="532"/>
      <c r="AW198" s="532"/>
      <c r="AX198" s="532"/>
      <c r="AY198" s="532"/>
    </row>
    <row r="199" spans="1:51" s="154" customFormat="1" ht="12.75" x14ac:dyDescent="0.2">
      <c r="P199" s="532"/>
      <c r="Q199" s="532"/>
      <c r="R199" s="532"/>
      <c r="S199" s="532"/>
      <c r="T199" s="532"/>
      <c r="U199" s="532"/>
      <c r="V199" s="532"/>
      <c r="W199" s="532"/>
      <c r="X199" s="532"/>
      <c r="Y199" s="532"/>
      <c r="Z199" s="532"/>
      <c r="AA199" s="532"/>
      <c r="AB199" s="532"/>
      <c r="AC199" s="532"/>
      <c r="AD199" s="532"/>
      <c r="AE199" s="532"/>
      <c r="AF199" s="532"/>
      <c r="AG199" s="532"/>
      <c r="AH199" s="532"/>
      <c r="AI199" s="532"/>
      <c r="AJ199" s="532"/>
      <c r="AK199" s="532"/>
      <c r="AL199" s="532"/>
      <c r="AM199" s="532"/>
      <c r="AN199" s="532"/>
      <c r="AO199" s="532"/>
      <c r="AP199" s="532"/>
      <c r="AQ199" s="532"/>
      <c r="AR199" s="532"/>
      <c r="AS199" s="532"/>
      <c r="AT199" s="532"/>
      <c r="AU199" s="532"/>
      <c r="AV199" s="532"/>
      <c r="AW199" s="532"/>
      <c r="AX199" s="532"/>
      <c r="AY199" s="532"/>
    </row>
    <row r="200" spans="1:51" s="121" customFormat="1" ht="12.75" x14ac:dyDescent="0.2">
      <c r="A200" s="154"/>
      <c r="B200" s="154"/>
      <c r="C200" s="154"/>
      <c r="D200" s="154"/>
      <c r="E200" s="154"/>
      <c r="F200" s="154"/>
      <c r="G200" s="154"/>
      <c r="H200" s="154"/>
      <c r="I200" s="154"/>
      <c r="J200" s="154"/>
      <c r="K200" s="154"/>
      <c r="L200" s="154"/>
      <c r="M200" s="154"/>
      <c r="N200" s="154"/>
      <c r="O200" s="154"/>
      <c r="P200" s="532"/>
      <c r="T200" s="532"/>
      <c r="U200" s="532"/>
      <c r="V200" s="532"/>
      <c r="W200" s="532"/>
      <c r="X200" s="532"/>
      <c r="Y200" s="532"/>
      <c r="Z200" s="532"/>
      <c r="AA200" s="532"/>
      <c r="AB200" s="532"/>
    </row>
    <row r="201" spans="1:51" s="121" customFormat="1" ht="18" x14ac:dyDescent="0.25">
      <c r="A201" s="532"/>
      <c r="B201" s="625" t="s">
        <v>533</v>
      </c>
      <c r="C201" s="532"/>
      <c r="D201" s="532"/>
      <c r="E201" s="532"/>
      <c r="F201" s="532"/>
      <c r="G201" s="532"/>
      <c r="H201" s="532"/>
      <c r="I201" s="532"/>
      <c r="J201" s="532"/>
      <c r="K201" s="532"/>
      <c r="L201" s="532"/>
      <c r="M201" s="532"/>
      <c r="N201" s="532"/>
      <c r="O201" s="532"/>
      <c r="P201" s="532"/>
      <c r="T201" s="532"/>
      <c r="U201" s="532"/>
      <c r="V201" s="532"/>
      <c r="W201" s="532"/>
      <c r="X201" s="532"/>
      <c r="Y201" s="532"/>
      <c r="Z201" s="532"/>
      <c r="AA201" s="532"/>
      <c r="AB201" s="532"/>
    </row>
    <row r="202" spans="1:51" s="121" customFormat="1" ht="12.75" x14ac:dyDescent="0.2">
      <c r="A202" s="532"/>
      <c r="B202" s="532"/>
      <c r="C202" s="532"/>
      <c r="D202" s="532"/>
      <c r="E202" s="532"/>
      <c r="F202" s="532"/>
      <c r="G202" s="532"/>
      <c r="H202" s="532"/>
      <c r="I202" s="532"/>
      <c r="J202" s="532"/>
      <c r="K202" s="532"/>
      <c r="L202" s="532"/>
      <c r="M202" s="532"/>
      <c r="N202" s="532"/>
      <c r="O202" s="532"/>
      <c r="T202" s="532"/>
      <c r="U202" s="532"/>
      <c r="V202" s="532"/>
      <c r="W202" s="532"/>
      <c r="X202" s="532"/>
      <c r="Y202" s="532"/>
      <c r="Z202" s="532"/>
      <c r="AA202" s="532"/>
      <c r="AB202" s="532"/>
    </row>
    <row r="203" spans="1:51" s="154" customFormat="1" ht="15.75" x14ac:dyDescent="0.25">
      <c r="A203" s="121"/>
      <c r="B203" s="492" t="s">
        <v>415</v>
      </c>
      <c r="C203" s="493"/>
      <c r="D203" s="493"/>
      <c r="E203" s="493"/>
      <c r="F203" s="493"/>
      <c r="G203" s="493"/>
      <c r="H203" s="493"/>
      <c r="I203" s="493"/>
      <c r="J203" s="493"/>
      <c r="K203" s="623" t="s">
        <v>526</v>
      </c>
      <c r="L203" s="493"/>
      <c r="M203" s="493"/>
      <c r="N203" s="493"/>
      <c r="O203" s="494" t="s">
        <v>525</v>
      </c>
      <c r="P203" s="198"/>
      <c r="Q203" s="532"/>
      <c r="R203" s="532"/>
      <c r="S203" s="532"/>
      <c r="T203" s="121"/>
      <c r="U203" s="532"/>
      <c r="V203" s="532"/>
      <c r="W203" s="532"/>
      <c r="X203" s="532"/>
      <c r="Y203" s="532"/>
      <c r="Z203" s="532"/>
      <c r="AA203" s="532"/>
      <c r="AB203" s="532"/>
      <c r="AC203" s="532"/>
      <c r="AD203" s="532"/>
      <c r="AE203" s="532"/>
      <c r="AF203" s="532"/>
      <c r="AG203" s="532"/>
      <c r="AH203" s="532"/>
      <c r="AI203" s="532"/>
      <c r="AJ203" s="532"/>
      <c r="AK203" s="532"/>
      <c r="AL203" s="532"/>
      <c r="AM203" s="532"/>
      <c r="AN203" s="532"/>
      <c r="AO203" s="532"/>
      <c r="AP203" s="532"/>
      <c r="AQ203" s="532"/>
      <c r="AR203" s="532"/>
      <c r="AS203" s="532"/>
      <c r="AT203" s="532"/>
      <c r="AU203" s="532"/>
      <c r="AV203" s="532"/>
      <c r="AW203" s="532"/>
      <c r="AX203" s="532"/>
      <c r="AY203" s="532"/>
    </row>
    <row r="204" spans="1:51" s="154" customFormat="1" ht="15" x14ac:dyDescent="0.25">
      <c r="B204" s="155"/>
      <c r="C204" s="455"/>
      <c r="D204" s="704" t="s">
        <v>173</v>
      </c>
      <c r="E204" s="705"/>
      <c r="F204" s="705"/>
      <c r="G204" s="706"/>
      <c r="H204" s="702" t="str">
        <f>$H$13</f>
        <v>Variable Costs</v>
      </c>
      <c r="I204" s="702">
        <f t="shared" ref="I204:N204" si="51">I153</f>
        <v>0</v>
      </c>
      <c r="J204" s="702">
        <f t="shared" si="51"/>
        <v>0</v>
      </c>
      <c r="K204" s="702">
        <f t="shared" si="51"/>
        <v>0</v>
      </c>
      <c r="L204" s="702">
        <f t="shared" si="51"/>
        <v>0</v>
      </c>
      <c r="M204" s="702">
        <f t="shared" si="51"/>
        <v>0</v>
      </c>
      <c r="N204" s="702">
        <f t="shared" si="51"/>
        <v>0</v>
      </c>
      <c r="O204" s="690" t="str">
        <f>$O$13</f>
        <v>Total Cost ($/Acre)</v>
      </c>
      <c r="P204" s="198" t="s">
        <v>417</v>
      </c>
      <c r="Q204" s="532"/>
      <c r="R204" s="532"/>
      <c r="S204" s="532"/>
      <c r="T204" s="532"/>
      <c r="U204" s="121"/>
      <c r="V204" s="121"/>
      <c r="W204" s="121"/>
      <c r="X204" s="121"/>
      <c r="Y204" s="121"/>
      <c r="Z204" s="121"/>
      <c r="AA204" s="121"/>
      <c r="AB204" s="121"/>
      <c r="AC204" s="532"/>
      <c r="AD204" s="532"/>
      <c r="AE204" s="532"/>
      <c r="AF204" s="532"/>
      <c r="AG204" s="532"/>
      <c r="AH204" s="532"/>
      <c r="AI204" s="532"/>
      <c r="AJ204" s="532"/>
      <c r="AK204" s="532"/>
      <c r="AL204" s="532"/>
      <c r="AM204" s="532"/>
      <c r="AN204" s="532"/>
      <c r="AO204" s="532"/>
      <c r="AP204" s="532"/>
      <c r="AQ204" s="532"/>
      <c r="AR204" s="532"/>
      <c r="AS204" s="532"/>
      <c r="AT204" s="532"/>
      <c r="AU204" s="532"/>
      <c r="AV204" s="532"/>
      <c r="AW204" s="532"/>
      <c r="AX204" s="532"/>
      <c r="AY204" s="532"/>
    </row>
    <row r="205" spans="1:51" s="154" customFormat="1" ht="12.75" x14ac:dyDescent="0.2">
      <c r="B205" s="714" t="str">
        <f>$B$14</f>
        <v>Operation</v>
      </c>
      <c r="C205" s="476"/>
      <c r="D205" s="694" t="str">
        <f>$D$14</f>
        <v>Depreciation</v>
      </c>
      <c r="E205" s="694" t="str">
        <f>$E$14</f>
        <v>Interest</v>
      </c>
      <c r="F205" s="694" t="str">
        <f>$F$14</f>
        <v>Taxes, housing, insurance, licenses</v>
      </c>
      <c r="G205" s="690" t="str">
        <f>$G$14</f>
        <v>Total Fixed Costs</v>
      </c>
      <c r="H205" s="694" t="str">
        <f>$H$14</f>
        <v>Repairs</v>
      </c>
      <c r="I205" s="694" t="str">
        <f>$I$14</f>
        <v>Lube Cost</v>
      </c>
      <c r="J205" s="703" t="str">
        <f>$J$14</f>
        <v>Fuel</v>
      </c>
      <c r="K205" s="703">
        <f>K157</f>
        <v>0</v>
      </c>
      <c r="L205" s="703" t="str">
        <f>$L$14</f>
        <v>Labor</v>
      </c>
      <c r="M205" s="703">
        <f>M157</f>
        <v>0</v>
      </c>
      <c r="N205" s="690" t="str">
        <f>$N$14</f>
        <v>Total Variable Costs</v>
      </c>
      <c r="O205" s="713"/>
      <c r="P205" s="590" t="s">
        <v>459</v>
      </c>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532"/>
      <c r="AN205" s="532"/>
      <c r="AO205" s="532"/>
      <c r="AP205" s="532"/>
      <c r="AQ205" s="532"/>
      <c r="AR205" s="532"/>
      <c r="AS205" s="532"/>
      <c r="AT205" s="532"/>
      <c r="AU205" s="532"/>
      <c r="AV205" s="532"/>
      <c r="AW205" s="532"/>
      <c r="AX205" s="532"/>
      <c r="AY205" s="532"/>
    </row>
    <row r="206" spans="1:51" s="154" customFormat="1" ht="41.25" customHeight="1" x14ac:dyDescent="0.2">
      <c r="B206" s="715" t="str">
        <f>B158</f>
        <v>300HP Tractor &amp; 48' spring tooth harrow</v>
      </c>
      <c r="C206" s="475" t="s">
        <v>208</v>
      </c>
      <c r="D206" s="695"/>
      <c r="E206" s="695"/>
      <c r="F206" s="695"/>
      <c r="G206" s="691"/>
      <c r="H206" s="700">
        <f>H158</f>
        <v>0</v>
      </c>
      <c r="I206" s="700">
        <f>I158</f>
        <v>0</v>
      </c>
      <c r="J206" s="474" t="str">
        <f>$J$15</f>
        <v>Fuel Use gal/acre</v>
      </c>
      <c r="K206" s="474" t="str">
        <f>$K$15</f>
        <v>Fuel Cost</v>
      </c>
      <c r="L206" s="474" t="str">
        <f>$L$15</f>
        <v>Labor hrs/acre</v>
      </c>
      <c r="M206" s="474" t="str">
        <f>$M$15</f>
        <v>Labor Cost</v>
      </c>
      <c r="N206" s="691"/>
      <c r="O206" s="691"/>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532"/>
      <c r="AN206" s="532"/>
      <c r="AO206" s="532"/>
      <c r="AP206" s="532"/>
      <c r="AQ206" s="532"/>
      <c r="AR206" s="532"/>
      <c r="AS206" s="532"/>
      <c r="AT206" s="532"/>
      <c r="AU206" s="532"/>
      <c r="AV206" s="532"/>
      <c r="AW206" s="532"/>
      <c r="AX206" s="532"/>
      <c r="AY206" s="532"/>
    </row>
    <row r="207" spans="1:51" s="154" customFormat="1" ht="12.75" x14ac:dyDescent="0.2">
      <c r="B207" s="165" t="str">
        <f>$B$16</f>
        <v>Seasonal operations:</v>
      </c>
      <c r="C207" s="457"/>
      <c r="D207" s="460"/>
      <c r="E207" s="460"/>
      <c r="F207" s="460"/>
      <c r="G207" s="461"/>
      <c r="H207" s="166"/>
      <c r="I207" s="166"/>
      <c r="J207" s="170"/>
      <c r="K207" s="170"/>
      <c r="L207" s="170"/>
      <c r="M207" s="170"/>
      <c r="N207" s="171"/>
      <c r="O207" s="167"/>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532"/>
      <c r="AN207" s="532"/>
      <c r="AO207" s="532"/>
      <c r="AP207" s="532"/>
      <c r="AQ207" s="532"/>
      <c r="AR207" s="532"/>
      <c r="AS207" s="532"/>
      <c r="AT207" s="532"/>
      <c r="AU207" s="532"/>
      <c r="AV207" s="532"/>
      <c r="AW207" s="532"/>
      <c r="AX207" s="532"/>
      <c r="AY207" s="532"/>
    </row>
    <row r="208" spans="1:51" ht="15" x14ac:dyDescent="0.25">
      <c r="A208" s="532"/>
      <c r="B208" s="164" t="str">
        <f>$B$17</f>
        <v>Self-propelled sprayer</v>
      </c>
      <c r="C208" s="459">
        <v>1</v>
      </c>
      <c r="D208" s="173">
        <f>$D$17*$C208</f>
        <v>1.82</v>
      </c>
      <c r="E208" s="173">
        <f>$E$17*$C208</f>
        <v>1.88</v>
      </c>
      <c r="F208" s="173">
        <f>$F$17*$C208</f>
        <v>0.93</v>
      </c>
      <c r="G208" s="464">
        <f>SUM(D208:F208)</f>
        <v>4.63</v>
      </c>
      <c r="H208" s="173">
        <f>$H$17*$C208</f>
        <v>0.44</v>
      </c>
      <c r="I208" s="173">
        <f>$I$17*$C208</f>
        <v>0.02</v>
      </c>
      <c r="J208" s="174">
        <f>$J$17*$C208</f>
        <v>0.04</v>
      </c>
      <c r="K208" s="173">
        <f>$K$17*$C208</f>
        <v>0.14000000000000001</v>
      </c>
      <c r="L208" s="174">
        <f>$L$17*$C208</f>
        <v>0.02</v>
      </c>
      <c r="M208" s="175">
        <f>$M$17*$C208</f>
        <v>0.4</v>
      </c>
      <c r="N208" s="239">
        <f t="shared" ref="N208:N213" si="52">SUM(H208,I208,K208,M208)</f>
        <v>1</v>
      </c>
      <c r="O208" s="176"/>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532"/>
      <c r="AN208" s="532"/>
      <c r="AO208" s="532"/>
      <c r="AP208" s="532"/>
      <c r="AQ208" s="532"/>
      <c r="AR208" s="532"/>
      <c r="AS208" s="532"/>
      <c r="AT208" s="532"/>
      <c r="AU208" s="532"/>
      <c r="AV208" s="532"/>
      <c r="AW208" s="532"/>
      <c r="AX208" s="532"/>
      <c r="AY208" s="532"/>
    </row>
    <row r="209" spans="1:51" ht="15" x14ac:dyDescent="0.25">
      <c r="A209" s="532"/>
      <c r="B209" s="164" t="str">
        <f>$B$18</f>
        <v>300HP Tractor &amp; 90' sprayer</v>
      </c>
      <c r="C209" s="459">
        <v>0</v>
      </c>
      <c r="D209" s="173">
        <f>$D$18*$C209</f>
        <v>0</v>
      </c>
      <c r="E209" s="173">
        <f>$E$18*$C209</f>
        <v>0</v>
      </c>
      <c r="F209" s="173">
        <f>$F$18*$C209</f>
        <v>0</v>
      </c>
      <c r="G209" s="464">
        <f>SUM(D209:F209)</f>
        <v>0</v>
      </c>
      <c r="H209" s="173">
        <f>$H$18*$C209</f>
        <v>0</v>
      </c>
      <c r="I209" s="173">
        <f>$I$18*$C209</f>
        <v>0</v>
      </c>
      <c r="J209" s="174">
        <f>$J$18*$C209</f>
        <v>0</v>
      </c>
      <c r="K209" s="173">
        <f>$K$18*$C209</f>
        <v>0</v>
      </c>
      <c r="L209" s="174">
        <f>$L$18*$C209</f>
        <v>0</v>
      </c>
      <c r="M209" s="175">
        <f>$M$18*$C209</f>
        <v>0</v>
      </c>
      <c r="N209" s="239">
        <f t="shared" si="52"/>
        <v>0</v>
      </c>
      <c r="O209" s="176"/>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532"/>
      <c r="AN209" s="532"/>
      <c r="AO209" s="532"/>
      <c r="AP209" s="532"/>
      <c r="AQ209" s="532"/>
      <c r="AR209" s="532"/>
      <c r="AS209" s="532"/>
      <c r="AT209" s="532"/>
      <c r="AU209" s="532"/>
      <c r="AV209" s="532"/>
      <c r="AW209" s="532"/>
      <c r="AX209" s="532"/>
      <c r="AY209" s="532"/>
    </row>
    <row r="210" spans="1:51" s="154" customFormat="1" ht="15" x14ac:dyDescent="0.25">
      <c r="B210" s="156" t="str">
        <f>$B$19</f>
        <v>300HP Tractor &amp; 48' rodweeder</v>
      </c>
      <c r="C210" s="459">
        <v>2</v>
      </c>
      <c r="D210" s="173">
        <f>$D$19*$C210</f>
        <v>3.36</v>
      </c>
      <c r="E210" s="173">
        <f>$E$19*$C210</f>
        <v>2.2200000000000002</v>
      </c>
      <c r="F210" s="173">
        <f>$F$19*$C210</f>
        <v>0.38</v>
      </c>
      <c r="G210" s="464">
        <f>SUM(D210:F210)</f>
        <v>5.96</v>
      </c>
      <c r="H210" s="173">
        <f>$H$19*$C210</f>
        <v>1.3</v>
      </c>
      <c r="I210" s="173">
        <f>$I$19*$C210</f>
        <v>0.74</v>
      </c>
      <c r="J210" s="174">
        <f>$J$19*$C210</f>
        <v>1.46</v>
      </c>
      <c r="K210" s="173">
        <f>$K$19*$C210</f>
        <v>4.96</v>
      </c>
      <c r="L210" s="174">
        <f>$L$19*$C210</f>
        <v>0.12</v>
      </c>
      <c r="M210" s="175">
        <f>$M$19*$C210</f>
        <v>2.4</v>
      </c>
      <c r="N210" s="239">
        <f t="shared" si="52"/>
        <v>9.4</v>
      </c>
      <c r="O210" s="176"/>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532"/>
      <c r="AN210" s="532"/>
      <c r="AO210" s="532"/>
      <c r="AP210" s="532"/>
      <c r="AQ210" s="532"/>
      <c r="AR210" s="532"/>
      <c r="AS210" s="532"/>
      <c r="AT210" s="532"/>
      <c r="AU210" s="532"/>
      <c r="AV210" s="532"/>
      <c r="AW210" s="532"/>
      <c r="AX210" s="532"/>
      <c r="AY210" s="532"/>
    </row>
    <row r="211" spans="1:51" s="154" customFormat="1" ht="15" x14ac:dyDescent="0.25">
      <c r="B211" s="164" t="str">
        <f>$B$20</f>
        <v>300HP Tractor &amp; 26' shredder</v>
      </c>
      <c r="C211" s="459">
        <v>0</v>
      </c>
      <c r="D211" s="173">
        <f>$D$20*$C211</f>
        <v>0</v>
      </c>
      <c r="E211" s="173">
        <f>$E$20*$C211</f>
        <v>0</v>
      </c>
      <c r="F211" s="173">
        <f>$F$20*$C211</f>
        <v>0</v>
      </c>
      <c r="G211" s="464">
        <f>SUM(D211:F211)</f>
        <v>0</v>
      </c>
      <c r="H211" s="173">
        <f>$H$20*$C211</f>
        <v>0</v>
      </c>
      <c r="I211" s="173">
        <f>$I$20*$C211</f>
        <v>0</v>
      </c>
      <c r="J211" s="174">
        <f>$J$20*$C211</f>
        <v>0</v>
      </c>
      <c r="K211" s="173">
        <f>$K$20*$C211</f>
        <v>0</v>
      </c>
      <c r="L211" s="174">
        <f>$L$20*$C211</f>
        <v>0</v>
      </c>
      <c r="M211" s="175">
        <f>$M$20*$C211</f>
        <v>0</v>
      </c>
      <c r="N211" s="239">
        <f t="shared" si="52"/>
        <v>0</v>
      </c>
      <c r="O211" s="176"/>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532"/>
      <c r="AN211" s="532"/>
      <c r="AO211" s="532"/>
      <c r="AP211" s="532"/>
      <c r="AQ211" s="532"/>
      <c r="AR211" s="532"/>
      <c r="AS211" s="532"/>
      <c r="AT211" s="532"/>
      <c r="AU211" s="532"/>
      <c r="AV211" s="532"/>
      <c r="AW211" s="532"/>
      <c r="AX211" s="532"/>
      <c r="AY211" s="532"/>
    </row>
    <row r="212" spans="1:51" s="154" customFormat="1" ht="15" x14ac:dyDescent="0.25">
      <c r="B212" s="164" t="str">
        <f>$B$21</f>
        <v>300HP Tractor &amp; 34' tandem disk</v>
      </c>
      <c r="C212" s="459">
        <v>0</v>
      </c>
      <c r="D212" s="173">
        <f>$D$21*$C212</f>
        <v>0</v>
      </c>
      <c r="E212" s="173">
        <f>$E$21*$C212</f>
        <v>0</v>
      </c>
      <c r="F212" s="173">
        <f>$F$21*$C212</f>
        <v>0</v>
      </c>
      <c r="G212" s="464">
        <f t="shared" ref="G212:G220" si="53">SUM(D212:F212)</f>
        <v>0</v>
      </c>
      <c r="H212" s="173">
        <f>$H$21*$C212</f>
        <v>0</v>
      </c>
      <c r="I212" s="173">
        <f>$I$21*$C212</f>
        <v>0</v>
      </c>
      <c r="J212" s="174">
        <f>$J$21*$C212</f>
        <v>0</v>
      </c>
      <c r="K212" s="173">
        <f>$K$21*$C212</f>
        <v>0</v>
      </c>
      <c r="L212" s="174">
        <f>$L$21*$C212</f>
        <v>0</v>
      </c>
      <c r="M212" s="175">
        <f>$M$21*$C212</f>
        <v>0</v>
      </c>
      <c r="N212" s="239">
        <f t="shared" si="52"/>
        <v>0</v>
      </c>
      <c r="O212" s="176"/>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532"/>
      <c r="AN212" s="532"/>
      <c r="AO212" s="532"/>
      <c r="AP212" s="532"/>
      <c r="AQ212" s="532"/>
      <c r="AR212" s="532"/>
      <c r="AS212" s="532"/>
      <c r="AT212" s="532"/>
      <c r="AU212" s="532"/>
      <c r="AV212" s="532"/>
      <c r="AW212" s="532"/>
      <c r="AX212" s="532"/>
      <c r="AY212" s="532"/>
    </row>
    <row r="213" spans="1:51" ht="15" x14ac:dyDescent="0.25">
      <c r="A213" s="532"/>
      <c r="B213" s="164" t="str">
        <f>$B$22</f>
        <v>300HP Tractor &amp; 36' cultiweeder</v>
      </c>
      <c r="C213" s="459">
        <v>1</v>
      </c>
      <c r="D213" s="173">
        <f>$D$22*$C213</f>
        <v>1.42</v>
      </c>
      <c r="E213" s="173">
        <f>$E$22*$C213</f>
        <v>0.92</v>
      </c>
      <c r="F213" s="173">
        <f>$F$22*$C213</f>
        <v>0.15</v>
      </c>
      <c r="G213" s="464">
        <f t="shared" si="53"/>
        <v>2.4899999999999998</v>
      </c>
      <c r="H213" s="173">
        <f>$H$22*$C213</f>
        <v>0.41</v>
      </c>
      <c r="I213" s="173">
        <f>$I$22*$C213</f>
        <v>0.28000000000000003</v>
      </c>
      <c r="J213" s="174">
        <f>$J$22*$C213</f>
        <v>0.55000000000000004</v>
      </c>
      <c r="K213" s="173">
        <f>$K$22*$C213</f>
        <v>1.87</v>
      </c>
      <c r="L213" s="174">
        <f>$L$22*$C213</f>
        <v>0.04</v>
      </c>
      <c r="M213" s="175">
        <f>$M$22*$C213</f>
        <v>0.8</v>
      </c>
      <c r="N213" s="239">
        <f t="shared" si="52"/>
        <v>3.3600000000000003</v>
      </c>
      <c r="O213" s="176"/>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532"/>
      <c r="AN213" s="532"/>
      <c r="AO213" s="532"/>
      <c r="AP213" s="532"/>
      <c r="AQ213" s="532"/>
      <c r="AR213" s="532"/>
      <c r="AS213" s="532"/>
      <c r="AT213" s="532"/>
      <c r="AU213" s="532"/>
      <c r="AV213" s="532"/>
      <c r="AW213" s="532"/>
      <c r="AX213" s="532"/>
      <c r="AY213" s="532"/>
    </row>
    <row r="214" spans="1:51" s="154" customFormat="1" ht="15" x14ac:dyDescent="0.25">
      <c r="B214" s="156" t="str">
        <f>$B$23</f>
        <v>300HP Tractor &amp; 35' chisel plow</v>
      </c>
      <c r="C214" s="459">
        <v>1</v>
      </c>
      <c r="D214" s="173">
        <f>$D$23*$C214</f>
        <v>2.17</v>
      </c>
      <c r="E214" s="173">
        <f>$E$23*$C214</f>
        <v>1.41</v>
      </c>
      <c r="F214" s="173">
        <f>$F$23*$C214</f>
        <v>0.24</v>
      </c>
      <c r="G214" s="464">
        <f t="shared" si="53"/>
        <v>3.8200000000000003</v>
      </c>
      <c r="H214" s="173">
        <f>$H$23*$C214</f>
        <v>0.79</v>
      </c>
      <c r="I214" s="173">
        <f>$I$23*$C214</f>
        <v>0.48</v>
      </c>
      <c r="J214" s="174">
        <f>$J$23*$C214</f>
        <v>0.95</v>
      </c>
      <c r="K214" s="173">
        <f>$K$23*$C214</f>
        <v>3.23</v>
      </c>
      <c r="L214" s="174">
        <f>$L$23*$C214</f>
        <v>0.08</v>
      </c>
      <c r="M214" s="175">
        <f>$M$23*$C214</f>
        <v>1.6</v>
      </c>
      <c r="N214" s="239">
        <f t="shared" ref="N214:N220" si="54">SUM(H214,I214,K214,M214)</f>
        <v>6.1</v>
      </c>
      <c r="O214" s="176"/>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532"/>
      <c r="AN214" s="532"/>
      <c r="AO214" s="532"/>
      <c r="AP214" s="532"/>
      <c r="AQ214" s="532"/>
      <c r="AR214" s="532"/>
      <c r="AS214" s="532"/>
      <c r="AT214" s="532"/>
      <c r="AU214" s="532"/>
      <c r="AV214" s="532"/>
      <c r="AW214" s="532"/>
      <c r="AX214" s="532"/>
      <c r="AY214" s="532"/>
    </row>
    <row r="215" spans="1:51" s="154" customFormat="1" ht="15" x14ac:dyDescent="0.25">
      <c r="B215" s="156" t="str">
        <f>$B$24</f>
        <v>300HP Tractor &amp; 36' cultivator</v>
      </c>
      <c r="C215" s="459">
        <v>0</v>
      </c>
      <c r="D215" s="173">
        <f>$D$24*$C215</f>
        <v>0</v>
      </c>
      <c r="E215" s="173">
        <f>$E$24*$C215</f>
        <v>0</v>
      </c>
      <c r="F215" s="173">
        <f>$F$24*$C215</f>
        <v>0</v>
      </c>
      <c r="G215" s="464">
        <f t="shared" si="53"/>
        <v>0</v>
      </c>
      <c r="H215" s="173">
        <f>$H$24*$C215</f>
        <v>0</v>
      </c>
      <c r="I215" s="173">
        <f>$I$24*$C215</f>
        <v>0</v>
      </c>
      <c r="J215" s="174">
        <f>$J$24*$C215</f>
        <v>0</v>
      </c>
      <c r="K215" s="173">
        <f>$K$24*$C215</f>
        <v>0</v>
      </c>
      <c r="L215" s="174">
        <f>$L$24*$C215</f>
        <v>0</v>
      </c>
      <c r="M215" s="175">
        <f>$M$24*$C215</f>
        <v>0</v>
      </c>
      <c r="N215" s="239">
        <f t="shared" si="54"/>
        <v>0</v>
      </c>
      <c r="O215" s="176"/>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532"/>
      <c r="AN215" s="532"/>
      <c r="AO215" s="532"/>
      <c r="AP215" s="532"/>
      <c r="AQ215" s="532"/>
      <c r="AR215" s="532"/>
      <c r="AS215" s="532"/>
      <c r="AT215" s="532"/>
      <c r="AU215" s="532"/>
      <c r="AV215" s="532"/>
      <c r="AW215" s="532"/>
      <c r="AX215" s="532"/>
      <c r="AY215" s="532"/>
    </row>
    <row r="216" spans="1:51" s="154" customFormat="1" ht="15" x14ac:dyDescent="0.25">
      <c r="B216" s="156" t="str">
        <f>$B$25</f>
        <v>300HP Tractor &amp; 48' spring tooth harrow</v>
      </c>
      <c r="C216" s="459">
        <v>0</v>
      </c>
      <c r="D216" s="173">
        <f>$D$25*$C216</f>
        <v>0</v>
      </c>
      <c r="E216" s="173">
        <f>$E$25*$C216</f>
        <v>0</v>
      </c>
      <c r="F216" s="173">
        <f>$F$25*$C216</f>
        <v>0</v>
      </c>
      <c r="G216" s="464">
        <f t="shared" si="53"/>
        <v>0</v>
      </c>
      <c r="H216" s="173">
        <f>$H$25*$C216</f>
        <v>0</v>
      </c>
      <c r="I216" s="173">
        <f>$I$25*$C216</f>
        <v>0</v>
      </c>
      <c r="J216" s="174">
        <f>$J$25*$C216</f>
        <v>0</v>
      </c>
      <c r="K216" s="173">
        <f>$K$25*$C216</f>
        <v>0</v>
      </c>
      <c r="L216" s="174">
        <f>$L$25*$C216</f>
        <v>0</v>
      </c>
      <c r="M216" s="175">
        <f>$M$25*$C216</f>
        <v>0</v>
      </c>
      <c r="N216" s="239">
        <f t="shared" si="54"/>
        <v>0</v>
      </c>
      <c r="O216" s="176"/>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532"/>
      <c r="AN216" s="532"/>
      <c r="AO216" s="532"/>
      <c r="AP216" s="532"/>
      <c r="AQ216" s="532"/>
      <c r="AR216" s="532"/>
      <c r="AS216" s="532"/>
      <c r="AT216" s="532"/>
      <c r="AU216" s="532"/>
      <c r="AV216" s="532"/>
      <c r="AW216" s="532"/>
      <c r="AX216" s="532"/>
      <c r="AY216" s="532"/>
    </row>
    <row r="217" spans="1:51" s="154" customFormat="1" ht="15" x14ac:dyDescent="0.25">
      <c r="B217" s="156" t="str">
        <f>$B$26</f>
        <v>300HP Tractor &amp; 36' grain drill</v>
      </c>
      <c r="C217" s="459">
        <v>0</v>
      </c>
      <c r="D217" s="173">
        <f>$D$26*$C217</f>
        <v>0</v>
      </c>
      <c r="E217" s="173">
        <f>$E$26*$C217</f>
        <v>0</v>
      </c>
      <c r="F217" s="173">
        <f>$F$26*$C217</f>
        <v>0</v>
      </c>
      <c r="G217" s="464">
        <f t="shared" si="53"/>
        <v>0</v>
      </c>
      <c r="H217" s="173">
        <f>$H$26*$C217</f>
        <v>0</v>
      </c>
      <c r="I217" s="173">
        <f>$I$26*$C217</f>
        <v>0</v>
      </c>
      <c r="J217" s="174">
        <f>$J$26*$C217</f>
        <v>0</v>
      </c>
      <c r="K217" s="173">
        <f>$K$26*$C217</f>
        <v>0</v>
      </c>
      <c r="L217" s="174">
        <f>$L$26*$C217</f>
        <v>0</v>
      </c>
      <c r="M217" s="175">
        <f>$M$26*$C217</f>
        <v>0</v>
      </c>
      <c r="N217" s="239">
        <f t="shared" si="54"/>
        <v>0</v>
      </c>
      <c r="O217" s="176"/>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532"/>
      <c r="AN217" s="532"/>
      <c r="AO217" s="532"/>
      <c r="AP217" s="532"/>
      <c r="AQ217" s="532"/>
      <c r="AR217" s="532"/>
      <c r="AS217" s="532"/>
      <c r="AT217" s="532"/>
      <c r="AU217" s="532"/>
      <c r="AV217" s="532"/>
      <c r="AW217" s="532"/>
      <c r="AX217" s="532"/>
      <c r="AY217" s="532"/>
    </row>
    <row r="218" spans="1:51" s="154" customFormat="1" ht="15" x14ac:dyDescent="0.25">
      <c r="B218" s="168" t="str">
        <f>$B$27</f>
        <v>Combine &amp; 30' header  *4 mph harvest speed*</v>
      </c>
      <c r="C218" s="459">
        <v>0</v>
      </c>
      <c r="D218" s="173">
        <f>$D$27*$C218</f>
        <v>0</v>
      </c>
      <c r="E218" s="173">
        <f>$E$27*$C218</f>
        <v>0</v>
      </c>
      <c r="F218" s="173">
        <f>$F$27*$C218</f>
        <v>0</v>
      </c>
      <c r="G218" s="464">
        <f t="shared" si="53"/>
        <v>0</v>
      </c>
      <c r="H218" s="173">
        <f>$H$27*$C218</f>
        <v>0</v>
      </c>
      <c r="I218" s="173">
        <f>$I$27*$C218</f>
        <v>0</v>
      </c>
      <c r="J218" s="174">
        <f>$J$27*$C218</f>
        <v>0</v>
      </c>
      <c r="K218" s="173">
        <f>$K$27*$C218</f>
        <v>0</v>
      </c>
      <c r="L218" s="174">
        <f>$L$27*$C218</f>
        <v>0</v>
      </c>
      <c r="M218" s="175">
        <f>$M$27*$C218</f>
        <v>0</v>
      </c>
      <c r="N218" s="239">
        <f t="shared" si="54"/>
        <v>0</v>
      </c>
      <c r="O218" s="176"/>
      <c r="P218" s="533"/>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532"/>
      <c r="AN218" s="532"/>
      <c r="AO218" s="532"/>
      <c r="AP218" s="532"/>
      <c r="AQ218" s="532"/>
      <c r="AR218" s="532"/>
      <c r="AS218" s="532"/>
      <c r="AT218" s="532"/>
      <c r="AU218" s="532"/>
      <c r="AV218" s="532"/>
      <c r="AW218" s="532"/>
      <c r="AX218" s="532"/>
      <c r="AY218" s="532"/>
    </row>
    <row r="219" spans="1:51" ht="15" x14ac:dyDescent="0.25">
      <c r="A219" s="532"/>
      <c r="B219" s="168" t="str">
        <f>$B$28</f>
        <v>Combine &amp; 30' header *3 mph harvest speed*</v>
      </c>
      <c r="C219" s="459">
        <v>0</v>
      </c>
      <c r="D219" s="173">
        <f>$D$28*$C219</f>
        <v>0</v>
      </c>
      <c r="E219" s="173">
        <f>$E$28*$C219</f>
        <v>0</v>
      </c>
      <c r="F219" s="173">
        <f>$F$28*$C219</f>
        <v>0</v>
      </c>
      <c r="G219" s="464">
        <f t="shared" si="53"/>
        <v>0</v>
      </c>
      <c r="H219" s="173">
        <f>$H$28*$C219</f>
        <v>0</v>
      </c>
      <c r="I219" s="173">
        <f>$I$28*$C219</f>
        <v>0</v>
      </c>
      <c r="J219" s="174">
        <f>$J$28*$C219</f>
        <v>0</v>
      </c>
      <c r="K219" s="173">
        <f>$K$28*$C219</f>
        <v>0</v>
      </c>
      <c r="L219" s="174">
        <f>$L$28*$C219</f>
        <v>0</v>
      </c>
      <c r="M219" s="175">
        <f>$M$28*$C219</f>
        <v>0</v>
      </c>
      <c r="N219" s="239">
        <f t="shared" si="54"/>
        <v>0</v>
      </c>
      <c r="O219" s="176"/>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532"/>
      <c r="AN219" s="532"/>
      <c r="AO219" s="532"/>
      <c r="AP219" s="532"/>
      <c r="AQ219" s="532"/>
      <c r="AR219" s="532"/>
      <c r="AS219" s="532"/>
      <c r="AT219" s="532"/>
      <c r="AU219" s="532"/>
      <c r="AV219" s="532"/>
      <c r="AW219" s="532"/>
      <c r="AX219" s="532"/>
      <c r="AY219" s="532"/>
    </row>
    <row r="220" spans="1:51" s="154" customFormat="1" ht="15" x14ac:dyDescent="0.25">
      <c r="B220" s="168" t="str">
        <f>$B$29</f>
        <v>300HP Tractor &amp; Bankout wagon</v>
      </c>
      <c r="C220" s="459">
        <v>0</v>
      </c>
      <c r="D220" s="173">
        <f>$D$29*$C220</f>
        <v>0</v>
      </c>
      <c r="E220" s="173">
        <f>$E$29*$C220</f>
        <v>0</v>
      </c>
      <c r="F220" s="173">
        <f>$F$29*$C220</f>
        <v>0</v>
      </c>
      <c r="G220" s="464">
        <f t="shared" si="53"/>
        <v>0</v>
      </c>
      <c r="H220" s="173">
        <f>$H$29*$C220</f>
        <v>0</v>
      </c>
      <c r="I220" s="173">
        <f>$I$29*$C220</f>
        <v>0</v>
      </c>
      <c r="J220" s="174">
        <f>$J$29*$C220</f>
        <v>0</v>
      </c>
      <c r="K220" s="173">
        <f>$K$29*$C220</f>
        <v>0</v>
      </c>
      <c r="L220" s="174">
        <f>$L$29*$C220</f>
        <v>0</v>
      </c>
      <c r="M220" s="175">
        <f>$M$29*$C220</f>
        <v>0</v>
      </c>
      <c r="N220" s="239">
        <f t="shared" si="54"/>
        <v>0</v>
      </c>
      <c r="O220" s="176"/>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532"/>
      <c r="AN220" s="532"/>
      <c r="AO220" s="532"/>
      <c r="AP220" s="532"/>
      <c r="AQ220" s="532"/>
      <c r="AR220" s="532"/>
      <c r="AS220" s="532"/>
      <c r="AT220" s="532"/>
      <c r="AU220" s="532"/>
      <c r="AV220" s="532"/>
      <c r="AW220" s="532"/>
      <c r="AX220" s="532"/>
      <c r="AY220" s="532"/>
    </row>
    <row r="221" spans="1:51" s="154" customFormat="1" ht="15" x14ac:dyDescent="0.25">
      <c r="B221" s="255" t="str">
        <f>$B$30</f>
        <v>Annual Costs:</v>
      </c>
      <c r="C221" s="454"/>
      <c r="D221" s="268"/>
      <c r="E221" s="268"/>
      <c r="F221" s="268"/>
      <c r="G221" s="465"/>
      <c r="H221" s="269"/>
      <c r="I221" s="269"/>
      <c r="J221" s="270"/>
      <c r="K221" s="269"/>
      <c r="L221" s="270"/>
      <c r="M221" s="271"/>
      <c r="N221" s="272"/>
      <c r="O221" s="273"/>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532"/>
      <c r="AN221" s="532"/>
      <c r="AO221" s="532"/>
      <c r="AP221" s="532"/>
      <c r="AQ221" s="532"/>
      <c r="AR221" s="532"/>
      <c r="AS221" s="532"/>
      <c r="AT221" s="532"/>
      <c r="AU221" s="532"/>
      <c r="AV221" s="532"/>
      <c r="AW221" s="532"/>
      <c r="AX221" s="532"/>
      <c r="AY221" s="532"/>
    </row>
    <row r="222" spans="1:51" s="154" customFormat="1" ht="15" x14ac:dyDescent="0.25">
      <c r="B222" s="261" t="str">
        <f>$B$31</f>
        <v>Tandem axle truck</v>
      </c>
      <c r="C222" s="458"/>
      <c r="D222" s="274">
        <f>$D$31</f>
        <v>0.39</v>
      </c>
      <c r="E222" s="274">
        <f>$E$31</f>
        <v>0.44</v>
      </c>
      <c r="F222" s="274">
        <f>$F$31</f>
        <v>0.72</v>
      </c>
      <c r="G222" s="466">
        <f>$G$31</f>
        <v>1.55</v>
      </c>
      <c r="H222" s="274">
        <f>$H$31</f>
        <v>0.56999999999999995</v>
      </c>
      <c r="I222" s="274">
        <f>$I$31</f>
        <v>0.04</v>
      </c>
      <c r="J222" s="275">
        <f>$J$31</f>
        <v>7.0000000000000007E-2</v>
      </c>
      <c r="K222" s="274">
        <f>$K$31</f>
        <v>0.24</v>
      </c>
      <c r="L222" s="275">
        <f>$L$31</f>
        <v>0.03</v>
      </c>
      <c r="M222" s="266">
        <f>$M$31</f>
        <v>0.51</v>
      </c>
      <c r="N222" s="276">
        <f t="shared" ref="N222:N227" si="55">SUM(H222,I222,K222,M222)</f>
        <v>1.3599999999999999</v>
      </c>
      <c r="O222" s="277"/>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532"/>
      <c r="AN222" s="532"/>
      <c r="AO222" s="532"/>
      <c r="AP222" s="532"/>
      <c r="AQ222" s="532"/>
      <c r="AR222" s="532"/>
      <c r="AS222" s="532"/>
      <c r="AT222" s="532"/>
      <c r="AU222" s="532"/>
      <c r="AV222" s="532"/>
      <c r="AW222" s="532"/>
      <c r="AX222" s="532"/>
      <c r="AY222" s="532"/>
    </row>
    <row r="223" spans="1:51" s="154" customFormat="1" ht="15" x14ac:dyDescent="0.25">
      <c r="B223" s="261" t="str">
        <f>$B$32</f>
        <v>Tandem axle truck</v>
      </c>
      <c r="C223" s="458"/>
      <c r="D223" s="274">
        <f>$D$32</f>
        <v>0.39</v>
      </c>
      <c r="E223" s="274">
        <f>$E$32</f>
        <v>0.44</v>
      </c>
      <c r="F223" s="274">
        <f>$F$32</f>
        <v>0.72</v>
      </c>
      <c r="G223" s="466">
        <f>$G$32</f>
        <v>1.55</v>
      </c>
      <c r="H223" s="274">
        <f>$H$32</f>
        <v>0.56999999999999995</v>
      </c>
      <c r="I223" s="274">
        <f>$I$32</f>
        <v>0.04</v>
      </c>
      <c r="J223" s="275">
        <f>$J$32</f>
        <v>7.0000000000000007E-2</v>
      </c>
      <c r="K223" s="274">
        <f>$K$32</f>
        <v>0.24</v>
      </c>
      <c r="L223" s="275">
        <f>$L$32</f>
        <v>0.03</v>
      </c>
      <c r="M223" s="266">
        <f>$M$32</f>
        <v>0.51</v>
      </c>
      <c r="N223" s="276">
        <f t="shared" si="55"/>
        <v>1.3599999999999999</v>
      </c>
      <c r="O223" s="277"/>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532"/>
      <c r="AN223" s="532"/>
      <c r="AO223" s="532"/>
      <c r="AP223" s="532"/>
      <c r="AQ223" s="532"/>
      <c r="AR223" s="532"/>
      <c r="AS223" s="532"/>
      <c r="AT223" s="532"/>
      <c r="AU223" s="532"/>
      <c r="AV223" s="532"/>
      <c r="AW223" s="532"/>
      <c r="AX223" s="532"/>
      <c r="AY223" s="532"/>
    </row>
    <row r="224" spans="1:51" s="154" customFormat="1" ht="15" x14ac:dyDescent="0.25">
      <c r="B224" s="261" t="str">
        <f>$B$33</f>
        <v>2-ton truck</v>
      </c>
      <c r="C224" s="458"/>
      <c r="D224" s="274">
        <f>$D$33</f>
        <v>0.32</v>
      </c>
      <c r="E224" s="274">
        <f>$E$33</f>
        <v>0.26</v>
      </c>
      <c r="F224" s="274">
        <f>$F$33</f>
        <v>0.42</v>
      </c>
      <c r="G224" s="466">
        <f>$G$33</f>
        <v>1</v>
      </c>
      <c r="H224" s="274">
        <f>$H$33</f>
        <v>0.28999999999999998</v>
      </c>
      <c r="I224" s="274">
        <f>$I$33</f>
        <v>0.03</v>
      </c>
      <c r="J224" s="275">
        <f>$J$33</f>
        <v>0.05</v>
      </c>
      <c r="K224" s="274">
        <f>$K$33</f>
        <v>0.17</v>
      </c>
      <c r="L224" s="275">
        <f>$L$33</f>
        <v>0.02</v>
      </c>
      <c r="M224" s="266">
        <f>$M$33</f>
        <v>0.34</v>
      </c>
      <c r="N224" s="276">
        <f t="shared" si="55"/>
        <v>0.83000000000000007</v>
      </c>
      <c r="O224" s="277"/>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532"/>
      <c r="AN224" s="532"/>
      <c r="AO224" s="532"/>
      <c r="AP224" s="532"/>
      <c r="AQ224" s="532"/>
      <c r="AR224" s="532"/>
      <c r="AS224" s="532"/>
      <c r="AT224" s="532"/>
      <c r="AU224" s="532"/>
      <c r="AV224" s="532"/>
      <c r="AW224" s="532"/>
      <c r="AX224" s="532"/>
      <c r="AY224" s="532"/>
    </row>
    <row r="225" spans="1:51" s="154" customFormat="1" ht="15" x14ac:dyDescent="0.25">
      <c r="B225" s="261" t="str">
        <f>$B$34</f>
        <v>Trap wagon</v>
      </c>
      <c r="C225" s="458"/>
      <c r="D225" s="274">
        <f>$D$34</f>
        <v>0.35</v>
      </c>
      <c r="E225" s="274">
        <f>$E$34</f>
        <v>0.16</v>
      </c>
      <c r="F225" s="274">
        <f>$F$34</f>
        <v>0.26</v>
      </c>
      <c r="G225" s="466">
        <f>$G$34</f>
        <v>0.77</v>
      </c>
      <c r="H225" s="274">
        <f>$H$34</f>
        <v>0.12</v>
      </c>
      <c r="I225" s="274">
        <f>$I$34</f>
        <v>0.03</v>
      </c>
      <c r="J225" s="275">
        <f>$J$34</f>
        <v>0.05</v>
      </c>
      <c r="K225" s="274">
        <f>$K$34</f>
        <v>0.17</v>
      </c>
      <c r="L225" s="275">
        <f>$L$34</f>
        <v>0.02</v>
      </c>
      <c r="M225" s="266">
        <f>$M$34</f>
        <v>0.34</v>
      </c>
      <c r="N225" s="276">
        <f t="shared" si="55"/>
        <v>0.66</v>
      </c>
      <c r="O225" s="277"/>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532"/>
      <c r="AN225" s="532"/>
      <c r="AO225" s="532"/>
      <c r="AP225" s="532"/>
      <c r="AQ225" s="532"/>
      <c r="AR225" s="532"/>
      <c r="AS225" s="532"/>
      <c r="AT225" s="532"/>
      <c r="AU225" s="532"/>
      <c r="AV225" s="532"/>
      <c r="AW225" s="532"/>
      <c r="AX225" s="532"/>
      <c r="AY225" s="532"/>
    </row>
    <row r="226" spans="1:51" s="154" customFormat="1" ht="15" x14ac:dyDescent="0.25">
      <c r="B226" s="261" t="str">
        <f>$B$35</f>
        <v>3/4-ton pick-up</v>
      </c>
      <c r="C226" s="458"/>
      <c r="D226" s="274">
        <f>$D$35</f>
        <v>0.6</v>
      </c>
      <c r="E226" s="274">
        <f>$E$35</f>
        <v>0.42</v>
      </c>
      <c r="F226" s="274">
        <f>$F$35</f>
        <v>0.45</v>
      </c>
      <c r="G226" s="466">
        <f>$G$35</f>
        <v>1.47</v>
      </c>
      <c r="H226" s="274">
        <f>$H$35</f>
        <v>0.17</v>
      </c>
      <c r="I226" s="274">
        <f>$I$35</f>
        <v>0.02</v>
      </c>
      <c r="J226" s="275">
        <f>$J$35</f>
        <v>0.03</v>
      </c>
      <c r="K226" s="274">
        <f>$K$35</f>
        <v>0.11</v>
      </c>
      <c r="L226" s="275">
        <f>$L$35</f>
        <v>0.01</v>
      </c>
      <c r="M226" s="266">
        <f>$M$35</f>
        <v>0.17</v>
      </c>
      <c r="N226" s="276">
        <f t="shared" si="55"/>
        <v>0.47</v>
      </c>
      <c r="O226" s="277"/>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532"/>
      <c r="AN226" s="532"/>
      <c r="AO226" s="532"/>
      <c r="AP226" s="532"/>
      <c r="AQ226" s="532"/>
      <c r="AR226" s="532"/>
      <c r="AS226" s="532"/>
      <c r="AT226" s="532"/>
      <c r="AU226" s="532"/>
      <c r="AV226" s="532"/>
      <c r="AW226" s="532"/>
      <c r="AX226" s="532"/>
      <c r="AY226" s="532"/>
    </row>
    <row r="227" spans="1:51" s="154" customFormat="1" ht="15" x14ac:dyDescent="0.25">
      <c r="B227" s="261" t="str">
        <f>$B$36</f>
        <v>ATV</v>
      </c>
      <c r="C227" s="458"/>
      <c r="D227" s="274">
        <f>$D$36</f>
        <v>0.25</v>
      </c>
      <c r="E227" s="274">
        <f>$E$36</f>
        <v>0.14000000000000001</v>
      </c>
      <c r="F227" s="274">
        <f>$F$36</f>
        <v>0.03</v>
      </c>
      <c r="G227" s="466">
        <f>$G$36</f>
        <v>0.42000000000000004</v>
      </c>
      <c r="H227" s="274">
        <f>$H$36</f>
        <v>0.05</v>
      </c>
      <c r="I227" s="274">
        <f>$I$36</f>
        <v>0.06</v>
      </c>
      <c r="J227" s="275">
        <f>$J$36</f>
        <v>0.12</v>
      </c>
      <c r="K227" s="274">
        <f>$K$36</f>
        <v>0.42</v>
      </c>
      <c r="L227" s="275">
        <f>$L$36</f>
        <v>0.11</v>
      </c>
      <c r="M227" s="266">
        <f>$M$36</f>
        <v>1.87</v>
      </c>
      <c r="N227" s="276">
        <f t="shared" si="55"/>
        <v>2.4000000000000004</v>
      </c>
      <c r="O227" s="277"/>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532"/>
      <c r="AN227" s="532"/>
      <c r="AO227" s="532"/>
      <c r="AP227" s="532"/>
      <c r="AQ227" s="532"/>
      <c r="AR227" s="532"/>
      <c r="AS227" s="532"/>
      <c r="AT227" s="532"/>
      <c r="AU227" s="532"/>
      <c r="AV227" s="532"/>
      <c r="AW227" s="532"/>
      <c r="AX227" s="532"/>
      <c r="AY227" s="532"/>
    </row>
    <row r="228" spans="1:51" s="154" customFormat="1" ht="13.5" thickBot="1" x14ac:dyDescent="0.25">
      <c r="B228" s="692" t="str">
        <f>$B$37</f>
        <v>Cost $/Acre</v>
      </c>
      <c r="C228" s="693"/>
      <c r="D228" s="237">
        <f t="shared" ref="D228:N228" si="56">SUM(D208:D227)</f>
        <v>11.07</v>
      </c>
      <c r="E228" s="237">
        <f t="shared" si="56"/>
        <v>8.2900000000000009</v>
      </c>
      <c r="F228" s="237">
        <f t="shared" si="56"/>
        <v>4.3</v>
      </c>
      <c r="G228" s="237">
        <f t="shared" si="56"/>
        <v>23.66</v>
      </c>
      <c r="H228" s="237">
        <f t="shared" si="56"/>
        <v>4.71</v>
      </c>
      <c r="I228" s="237">
        <f t="shared" si="56"/>
        <v>1.7400000000000002</v>
      </c>
      <c r="J228" s="159">
        <f t="shared" si="56"/>
        <v>3.3899999999999992</v>
      </c>
      <c r="K228" s="237">
        <f t="shared" si="56"/>
        <v>11.549999999999999</v>
      </c>
      <c r="L228" s="159">
        <f t="shared" si="56"/>
        <v>0.48000000000000009</v>
      </c>
      <c r="M228" s="237">
        <f t="shared" si="56"/>
        <v>8.9399999999999977</v>
      </c>
      <c r="N228" s="237">
        <f t="shared" si="56"/>
        <v>26.939999999999998</v>
      </c>
      <c r="O228" s="157">
        <f>SUM(G228,N228)</f>
        <v>50.599999999999994</v>
      </c>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532"/>
      <c r="AN228" s="532"/>
      <c r="AO228" s="532"/>
      <c r="AP228" s="532"/>
      <c r="AQ228" s="532"/>
      <c r="AR228" s="532"/>
      <c r="AS228" s="532"/>
      <c r="AT228" s="532"/>
      <c r="AU228" s="532"/>
      <c r="AV228" s="532"/>
      <c r="AW228" s="532"/>
      <c r="AX228" s="532"/>
      <c r="AY228" s="532"/>
    </row>
    <row r="229" spans="1:51" s="154" customFormat="1" ht="12.75" x14ac:dyDescent="0.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532"/>
      <c r="AN229" s="532"/>
      <c r="AO229" s="532"/>
      <c r="AP229" s="532"/>
      <c r="AQ229" s="532"/>
      <c r="AR229" s="532"/>
      <c r="AS229" s="532"/>
      <c r="AT229" s="532"/>
      <c r="AU229" s="532"/>
      <c r="AV229" s="532"/>
      <c r="AW229" s="532"/>
      <c r="AX229" s="532"/>
      <c r="AY229" s="532"/>
    </row>
    <row r="230" spans="1:51" s="121" customFormat="1" ht="12.75" x14ac:dyDescent="0.2">
      <c r="A230" s="154"/>
      <c r="B230" s="154"/>
      <c r="C230" s="154"/>
      <c r="D230" s="154"/>
      <c r="E230" s="154"/>
      <c r="F230" s="154"/>
      <c r="G230" s="154"/>
      <c r="H230" s="154"/>
      <c r="I230" s="154"/>
      <c r="J230" s="154"/>
      <c r="K230" s="154"/>
      <c r="L230" s="154"/>
      <c r="M230" s="154"/>
      <c r="N230" s="154"/>
      <c r="O230" s="154"/>
      <c r="T230" s="532"/>
      <c r="U230" s="532"/>
      <c r="V230" s="532"/>
      <c r="W230" s="532"/>
      <c r="X230" s="532"/>
      <c r="Y230" s="532"/>
      <c r="Z230" s="532"/>
      <c r="AA230" s="532"/>
      <c r="AB230" s="532"/>
    </row>
    <row r="231" spans="1:51" s="154" customFormat="1" ht="15.75" x14ac:dyDescent="0.25">
      <c r="A231" s="121"/>
      <c r="B231" s="492" t="s">
        <v>318</v>
      </c>
      <c r="C231" s="493"/>
      <c r="D231" s="493"/>
      <c r="E231" s="493"/>
      <c r="F231" s="493"/>
      <c r="G231" s="493"/>
      <c r="H231" s="493"/>
      <c r="I231" s="493"/>
      <c r="J231" s="493"/>
      <c r="K231" s="623" t="s">
        <v>526</v>
      </c>
      <c r="L231" s="493"/>
      <c r="M231" s="493"/>
      <c r="N231" s="493"/>
      <c r="O231" s="494" t="s">
        <v>532</v>
      </c>
      <c r="P231" s="198"/>
      <c r="Q231" s="532"/>
      <c r="R231" s="532"/>
      <c r="S231" s="532"/>
      <c r="T231" s="121"/>
      <c r="U231" s="532"/>
      <c r="V231" s="532"/>
      <c r="W231" s="532"/>
      <c r="X231" s="532"/>
      <c r="Y231" s="532"/>
      <c r="Z231" s="532"/>
      <c r="AA231" s="532"/>
      <c r="AB231" s="532"/>
      <c r="AC231" s="532"/>
      <c r="AD231" s="532"/>
      <c r="AE231" s="532"/>
      <c r="AF231" s="532"/>
      <c r="AG231" s="532"/>
      <c r="AH231" s="532"/>
      <c r="AI231" s="532"/>
      <c r="AJ231" s="532"/>
      <c r="AK231" s="532"/>
      <c r="AL231" s="532"/>
      <c r="AM231" s="532"/>
      <c r="AN231" s="532"/>
      <c r="AO231" s="532"/>
      <c r="AP231" s="532"/>
      <c r="AQ231" s="532"/>
      <c r="AR231" s="532"/>
      <c r="AS231" s="532"/>
      <c r="AT231" s="532"/>
      <c r="AU231" s="532"/>
      <c r="AV231" s="532"/>
      <c r="AW231" s="532"/>
      <c r="AX231" s="532"/>
      <c r="AY231" s="532"/>
    </row>
    <row r="232" spans="1:51" s="154" customFormat="1" ht="15" x14ac:dyDescent="0.25">
      <c r="B232" s="155"/>
      <c r="C232" s="455"/>
      <c r="D232" s="704" t="s">
        <v>173</v>
      </c>
      <c r="E232" s="705"/>
      <c r="F232" s="705"/>
      <c r="G232" s="706"/>
      <c r="H232" s="702" t="str">
        <f>$H$13</f>
        <v>Variable Costs</v>
      </c>
      <c r="I232" s="702">
        <f t="shared" ref="I232:N232" si="57">I181</f>
        <v>0</v>
      </c>
      <c r="J232" s="702">
        <f t="shared" si="57"/>
        <v>0</v>
      </c>
      <c r="K232" s="702">
        <f t="shared" si="57"/>
        <v>0</v>
      </c>
      <c r="L232" s="702">
        <f t="shared" si="57"/>
        <v>0</v>
      </c>
      <c r="M232" s="702">
        <f t="shared" si="57"/>
        <v>0</v>
      </c>
      <c r="N232" s="702">
        <f t="shared" si="57"/>
        <v>0</v>
      </c>
      <c r="O232" s="690" t="str">
        <f>$O$13</f>
        <v>Total Cost ($/Acre)</v>
      </c>
      <c r="P232" s="198" t="s">
        <v>417</v>
      </c>
      <c r="Q232" s="532"/>
      <c r="R232" s="532"/>
      <c r="S232" s="532"/>
      <c r="T232" s="532"/>
      <c r="U232" s="121"/>
      <c r="V232" s="121"/>
      <c r="W232" s="121"/>
      <c r="X232" s="121"/>
      <c r="Y232" s="121"/>
      <c r="Z232" s="121"/>
      <c r="AA232" s="121"/>
      <c r="AB232" s="121"/>
      <c r="AC232" s="532"/>
      <c r="AD232" s="532"/>
      <c r="AE232" s="532"/>
      <c r="AF232" s="532"/>
      <c r="AG232" s="532"/>
      <c r="AH232" s="532"/>
      <c r="AI232" s="532"/>
      <c r="AJ232" s="532"/>
      <c r="AK232" s="532"/>
      <c r="AL232" s="532"/>
      <c r="AM232" s="532"/>
      <c r="AN232" s="532"/>
      <c r="AO232" s="532"/>
      <c r="AP232" s="532"/>
      <c r="AQ232" s="532"/>
      <c r="AR232" s="532"/>
      <c r="AS232" s="532"/>
      <c r="AT232" s="532"/>
      <c r="AU232" s="532"/>
      <c r="AV232" s="532"/>
      <c r="AW232" s="532"/>
      <c r="AX232" s="532"/>
      <c r="AY232" s="532"/>
    </row>
    <row r="233" spans="1:51" s="154" customFormat="1" ht="12.75" x14ac:dyDescent="0.2">
      <c r="B233" s="714" t="str">
        <f>$B$14</f>
        <v>Operation</v>
      </c>
      <c r="C233" s="476"/>
      <c r="D233" s="694" t="str">
        <f>$D$14</f>
        <v>Depreciation</v>
      </c>
      <c r="E233" s="694" t="str">
        <f>$E$14</f>
        <v>Interest</v>
      </c>
      <c r="F233" s="694" t="str">
        <f>$F$14</f>
        <v>Taxes, housing, insurance, licenses</v>
      </c>
      <c r="G233" s="690" t="str">
        <f>$G$14</f>
        <v>Total Fixed Costs</v>
      </c>
      <c r="H233" s="694" t="str">
        <f>$H$14</f>
        <v>Repairs</v>
      </c>
      <c r="I233" s="694" t="str">
        <f>$I$14</f>
        <v>Lube Cost</v>
      </c>
      <c r="J233" s="703" t="str">
        <f>$J$14</f>
        <v>Fuel</v>
      </c>
      <c r="K233" s="703">
        <f>K185</f>
        <v>0</v>
      </c>
      <c r="L233" s="703" t="str">
        <f>$L$14</f>
        <v>Labor</v>
      </c>
      <c r="M233" s="703">
        <f>M185</f>
        <v>0</v>
      </c>
      <c r="N233" s="690" t="str">
        <f>$N$14</f>
        <v>Total Variable Costs</v>
      </c>
      <c r="O233" s="713"/>
      <c r="P233" s="590" t="s">
        <v>459</v>
      </c>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2"/>
      <c r="AY233" s="532"/>
    </row>
    <row r="234" spans="1:51" s="154" customFormat="1" ht="39" customHeight="1" x14ac:dyDescent="0.2">
      <c r="B234" s="715" t="str">
        <f>B186</f>
        <v>300HP Tractor &amp; 48' spring tooth harrow</v>
      </c>
      <c r="C234" s="475" t="s">
        <v>208</v>
      </c>
      <c r="D234" s="695"/>
      <c r="E234" s="695"/>
      <c r="F234" s="695"/>
      <c r="G234" s="691"/>
      <c r="H234" s="700">
        <f>H186</f>
        <v>0</v>
      </c>
      <c r="I234" s="700">
        <f>I186</f>
        <v>0</v>
      </c>
      <c r="J234" s="474" t="str">
        <f>$J$15</f>
        <v>Fuel Use gal/acre</v>
      </c>
      <c r="K234" s="474" t="str">
        <f>$K$15</f>
        <v>Fuel Cost</v>
      </c>
      <c r="L234" s="474" t="str">
        <f>$L$15</f>
        <v>Labor hrs/acre</v>
      </c>
      <c r="M234" s="474" t="str">
        <f>$M$15</f>
        <v>Labor Cost</v>
      </c>
      <c r="N234" s="691"/>
      <c r="O234" s="691"/>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532"/>
      <c r="AN234" s="532"/>
      <c r="AO234" s="532"/>
      <c r="AP234" s="532"/>
      <c r="AQ234" s="532"/>
      <c r="AR234" s="532"/>
      <c r="AS234" s="532"/>
      <c r="AT234" s="532"/>
      <c r="AU234" s="532"/>
      <c r="AV234" s="532"/>
      <c r="AW234" s="532"/>
      <c r="AX234" s="532"/>
      <c r="AY234" s="532"/>
    </row>
    <row r="235" spans="1:51" s="154" customFormat="1" ht="12.75" x14ac:dyDescent="0.2">
      <c r="B235" s="165" t="str">
        <f>$B$16</f>
        <v>Seasonal operations:</v>
      </c>
      <c r="C235" s="457"/>
      <c r="D235" s="460"/>
      <c r="E235" s="460"/>
      <c r="F235" s="460"/>
      <c r="G235" s="461"/>
      <c r="H235" s="166"/>
      <c r="I235" s="166"/>
      <c r="J235" s="170"/>
      <c r="K235" s="170"/>
      <c r="L235" s="170"/>
      <c r="M235" s="170"/>
      <c r="N235" s="171"/>
      <c r="O235" s="167"/>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532"/>
      <c r="AN235" s="532"/>
      <c r="AO235" s="532"/>
      <c r="AP235" s="532"/>
      <c r="AQ235" s="532"/>
      <c r="AR235" s="532"/>
      <c r="AS235" s="532"/>
      <c r="AT235" s="532"/>
      <c r="AU235" s="532"/>
      <c r="AV235" s="532"/>
      <c r="AW235" s="532"/>
      <c r="AX235" s="532"/>
      <c r="AY235" s="532"/>
    </row>
    <row r="236" spans="1:51" ht="15" x14ac:dyDescent="0.25">
      <c r="A236" s="532"/>
      <c r="B236" s="164" t="str">
        <f>$B$17</f>
        <v>Self-propelled sprayer</v>
      </c>
      <c r="C236" s="459">
        <v>2</v>
      </c>
      <c r="D236" s="173">
        <f>$D$17*$C236</f>
        <v>3.64</v>
      </c>
      <c r="E236" s="173">
        <f>$E$17*$C236</f>
        <v>3.76</v>
      </c>
      <c r="F236" s="173">
        <f>$F$17*$C236</f>
        <v>1.86</v>
      </c>
      <c r="G236" s="464">
        <f>SUM(D236:F236)</f>
        <v>9.26</v>
      </c>
      <c r="H236" s="173">
        <f>$H$17*$C236</f>
        <v>0.88</v>
      </c>
      <c r="I236" s="173">
        <f>$I$17*$C236</f>
        <v>0.04</v>
      </c>
      <c r="J236" s="174">
        <f>$J$17*$C236</f>
        <v>0.08</v>
      </c>
      <c r="K236" s="173">
        <f>$K$17*$C236</f>
        <v>0.28000000000000003</v>
      </c>
      <c r="L236" s="174">
        <f>$L$17*$C236</f>
        <v>0.04</v>
      </c>
      <c r="M236" s="175">
        <f>$M$17*$C236</f>
        <v>0.8</v>
      </c>
      <c r="N236" s="239">
        <f t="shared" ref="N236:N241" si="58">SUM(H236,I236,K236,M236)</f>
        <v>2</v>
      </c>
      <c r="O236" s="176"/>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row>
    <row r="237" spans="1:51" ht="15" x14ac:dyDescent="0.25">
      <c r="A237" s="532"/>
      <c r="B237" s="164" t="str">
        <f>$B$18</f>
        <v>300HP Tractor &amp; 90' sprayer</v>
      </c>
      <c r="C237" s="459">
        <v>0</v>
      </c>
      <c r="D237" s="173">
        <f>$D$18*$C237</f>
        <v>0</v>
      </c>
      <c r="E237" s="173">
        <f>$E$18*$C237</f>
        <v>0</v>
      </c>
      <c r="F237" s="173">
        <f>$F$18*$C237</f>
        <v>0</v>
      </c>
      <c r="G237" s="464">
        <f>SUM(D237:F237)</f>
        <v>0</v>
      </c>
      <c r="H237" s="173">
        <f>$H$18*$C237</f>
        <v>0</v>
      </c>
      <c r="I237" s="173">
        <f>$I$18*$C237</f>
        <v>0</v>
      </c>
      <c r="J237" s="174">
        <f>$J$18*$C237</f>
        <v>0</v>
      </c>
      <c r="K237" s="173">
        <f>$K$18*$C237</f>
        <v>0</v>
      </c>
      <c r="L237" s="174">
        <f>$L$18*$C237</f>
        <v>0</v>
      </c>
      <c r="M237" s="175">
        <f>$M$18*$C237</f>
        <v>0</v>
      </c>
      <c r="N237" s="239">
        <f t="shared" si="58"/>
        <v>0</v>
      </c>
      <c r="O237" s="176"/>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532"/>
      <c r="AN237" s="532"/>
      <c r="AO237" s="532"/>
      <c r="AP237" s="532"/>
      <c r="AQ237" s="532"/>
      <c r="AR237" s="532"/>
      <c r="AS237" s="532"/>
      <c r="AT237" s="532"/>
      <c r="AU237" s="532"/>
      <c r="AV237" s="532"/>
      <c r="AW237" s="532"/>
      <c r="AX237" s="532"/>
      <c r="AY237" s="532"/>
    </row>
    <row r="238" spans="1:51" s="154" customFormat="1" ht="15" x14ac:dyDescent="0.25">
      <c r="B238" s="156" t="str">
        <f>$B$19</f>
        <v>300HP Tractor &amp; 48' rodweeder</v>
      </c>
      <c r="C238" s="459">
        <v>0</v>
      </c>
      <c r="D238" s="173">
        <f>$D$19*$C238</f>
        <v>0</v>
      </c>
      <c r="E238" s="173">
        <f>$E$19*$C238</f>
        <v>0</v>
      </c>
      <c r="F238" s="173">
        <f>$F$19*$C238</f>
        <v>0</v>
      </c>
      <c r="G238" s="464">
        <f>SUM(D238:F238)</f>
        <v>0</v>
      </c>
      <c r="H238" s="173">
        <f>$H$19*$C238</f>
        <v>0</v>
      </c>
      <c r="I238" s="173">
        <f>$I$19*$C238</f>
        <v>0</v>
      </c>
      <c r="J238" s="174">
        <f>$J$19*$C238</f>
        <v>0</v>
      </c>
      <c r="K238" s="173">
        <f>$K$19*$C238</f>
        <v>0</v>
      </c>
      <c r="L238" s="174">
        <f>$L$19*$C238</f>
        <v>0</v>
      </c>
      <c r="M238" s="175">
        <f>$M$19*$C238</f>
        <v>0</v>
      </c>
      <c r="N238" s="239">
        <f t="shared" si="58"/>
        <v>0</v>
      </c>
      <c r="O238" s="176"/>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532"/>
      <c r="AN238" s="532"/>
      <c r="AO238" s="532"/>
      <c r="AP238" s="532"/>
      <c r="AQ238" s="532"/>
      <c r="AR238" s="532"/>
      <c r="AS238" s="532"/>
      <c r="AT238" s="532"/>
      <c r="AU238" s="532"/>
      <c r="AV238" s="532"/>
      <c r="AW238" s="532"/>
      <c r="AX238" s="532"/>
      <c r="AY238" s="532"/>
    </row>
    <row r="239" spans="1:51" s="154" customFormat="1" ht="15" x14ac:dyDescent="0.25">
      <c r="B239" s="164" t="str">
        <f>$B$20</f>
        <v>300HP Tractor &amp; 26' shredder</v>
      </c>
      <c r="C239" s="459">
        <v>0</v>
      </c>
      <c r="D239" s="173">
        <f>$D$20*$C239</f>
        <v>0</v>
      </c>
      <c r="E239" s="173">
        <f>$E$20*$C239</f>
        <v>0</v>
      </c>
      <c r="F239" s="173">
        <f>$F$20*$C239</f>
        <v>0</v>
      </c>
      <c r="G239" s="464">
        <f>SUM(D239:F239)</f>
        <v>0</v>
      </c>
      <c r="H239" s="173">
        <f>$H$20*$C239</f>
        <v>0</v>
      </c>
      <c r="I239" s="173">
        <f>$I$20*$C239</f>
        <v>0</v>
      </c>
      <c r="J239" s="174">
        <f>$J$20*$C239</f>
        <v>0</v>
      </c>
      <c r="K239" s="173">
        <f>$K$20*$C239</f>
        <v>0</v>
      </c>
      <c r="L239" s="174">
        <f>$L$20*$C239</f>
        <v>0</v>
      </c>
      <c r="M239" s="175">
        <f>$M$20*$C239</f>
        <v>0</v>
      </c>
      <c r="N239" s="239">
        <f t="shared" si="58"/>
        <v>0</v>
      </c>
      <c r="O239" s="176"/>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532"/>
      <c r="AN239" s="532"/>
      <c r="AO239" s="532"/>
      <c r="AP239" s="532"/>
      <c r="AQ239" s="532"/>
      <c r="AR239" s="532"/>
      <c r="AS239" s="532"/>
      <c r="AT239" s="532"/>
      <c r="AU239" s="532"/>
      <c r="AV239" s="532"/>
      <c r="AW239" s="532"/>
      <c r="AX239" s="532"/>
      <c r="AY239" s="532"/>
    </row>
    <row r="240" spans="1:51" s="154" customFormat="1" ht="15" x14ac:dyDescent="0.25">
      <c r="B240" s="164" t="str">
        <f>$B$21</f>
        <v>300HP Tractor &amp; 34' tandem disk</v>
      </c>
      <c r="C240" s="459">
        <v>0</v>
      </c>
      <c r="D240" s="173">
        <f>$D$21*$C240</f>
        <v>0</v>
      </c>
      <c r="E240" s="173">
        <f>$E$21*$C240</f>
        <v>0</v>
      </c>
      <c r="F240" s="173">
        <f>$F$21*$C240</f>
        <v>0</v>
      </c>
      <c r="G240" s="464">
        <f t="shared" ref="G240:G248" si="59">SUM(D240:F240)</f>
        <v>0</v>
      </c>
      <c r="H240" s="173">
        <f>$H$21*$C240</f>
        <v>0</v>
      </c>
      <c r="I240" s="173">
        <f>$I$21*$C240</f>
        <v>0</v>
      </c>
      <c r="J240" s="174">
        <f>$J$21*$C240</f>
        <v>0</v>
      </c>
      <c r="K240" s="173">
        <f>$K$21*$C240</f>
        <v>0</v>
      </c>
      <c r="L240" s="174">
        <f>$L$21*$C240</f>
        <v>0</v>
      </c>
      <c r="M240" s="175">
        <f>$M$21*$C240</f>
        <v>0</v>
      </c>
      <c r="N240" s="239">
        <f t="shared" si="58"/>
        <v>0</v>
      </c>
      <c r="O240" s="176"/>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532"/>
      <c r="AN240" s="532"/>
      <c r="AO240" s="532"/>
      <c r="AP240" s="532"/>
      <c r="AQ240" s="532"/>
      <c r="AR240" s="532"/>
      <c r="AS240" s="532"/>
      <c r="AT240" s="532"/>
      <c r="AU240" s="532"/>
      <c r="AV240" s="532"/>
      <c r="AW240" s="532"/>
      <c r="AX240" s="532"/>
      <c r="AY240" s="532"/>
    </row>
    <row r="241" spans="1:51" ht="15" x14ac:dyDescent="0.25">
      <c r="A241" s="532"/>
      <c r="B241" s="164" t="str">
        <f>$B$22</f>
        <v>300HP Tractor &amp; 36' cultiweeder</v>
      </c>
      <c r="C241" s="459">
        <v>0</v>
      </c>
      <c r="D241" s="173">
        <f>$D$22*$C241</f>
        <v>0</v>
      </c>
      <c r="E241" s="173">
        <f>$E$22*$C241</f>
        <v>0</v>
      </c>
      <c r="F241" s="173">
        <f>$F$22*$C241</f>
        <v>0</v>
      </c>
      <c r="G241" s="464">
        <f t="shared" si="59"/>
        <v>0</v>
      </c>
      <c r="H241" s="173">
        <f>$H$22*$C241</f>
        <v>0</v>
      </c>
      <c r="I241" s="173">
        <f>$I$22*$C241</f>
        <v>0</v>
      </c>
      <c r="J241" s="174">
        <f>$J$22*$C241</f>
        <v>0</v>
      </c>
      <c r="K241" s="173">
        <f>$K$22*$C241</f>
        <v>0</v>
      </c>
      <c r="L241" s="174">
        <f>$L$22*$C241</f>
        <v>0</v>
      </c>
      <c r="M241" s="175">
        <f>$M$22*$C241</f>
        <v>0</v>
      </c>
      <c r="N241" s="239">
        <f t="shared" si="58"/>
        <v>0</v>
      </c>
      <c r="O241" s="176"/>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532"/>
      <c r="AN241" s="532"/>
      <c r="AO241" s="532"/>
      <c r="AP241" s="532"/>
      <c r="AQ241" s="532"/>
      <c r="AR241" s="532"/>
      <c r="AS241" s="532"/>
      <c r="AT241" s="532"/>
      <c r="AU241" s="532"/>
      <c r="AV241" s="532"/>
      <c r="AW241" s="532"/>
      <c r="AX241" s="532"/>
      <c r="AY241" s="532"/>
    </row>
    <row r="242" spans="1:51" s="154" customFormat="1" ht="15" x14ac:dyDescent="0.25">
      <c r="B242" s="156" t="str">
        <f>$B$23</f>
        <v>300HP Tractor &amp; 35' chisel plow</v>
      </c>
      <c r="C242" s="459">
        <v>0</v>
      </c>
      <c r="D242" s="173">
        <f>$D$23*$C242</f>
        <v>0</v>
      </c>
      <c r="E242" s="173">
        <f>$E$23*$C242</f>
        <v>0</v>
      </c>
      <c r="F242" s="173">
        <f>$F$23*$C242</f>
        <v>0</v>
      </c>
      <c r="G242" s="464">
        <f t="shared" si="59"/>
        <v>0</v>
      </c>
      <c r="H242" s="173">
        <f>$H$23*$C242</f>
        <v>0</v>
      </c>
      <c r="I242" s="173">
        <f>$I$23*$C242</f>
        <v>0</v>
      </c>
      <c r="J242" s="174">
        <f>$J$23*$C242</f>
        <v>0</v>
      </c>
      <c r="K242" s="173">
        <f>$K$23*$C242</f>
        <v>0</v>
      </c>
      <c r="L242" s="174">
        <f>$L$23*$C242</f>
        <v>0</v>
      </c>
      <c r="M242" s="175">
        <f>$M$23*$C242</f>
        <v>0</v>
      </c>
      <c r="N242" s="239">
        <f t="shared" ref="N242:N248" si="60">SUM(H242,I242,K242,M242)</f>
        <v>0</v>
      </c>
      <c r="O242" s="176"/>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532"/>
      <c r="AN242" s="532"/>
      <c r="AO242" s="532"/>
      <c r="AP242" s="532"/>
      <c r="AQ242" s="532"/>
      <c r="AR242" s="532"/>
      <c r="AS242" s="532"/>
      <c r="AT242" s="532"/>
      <c r="AU242" s="532"/>
      <c r="AV242" s="532"/>
      <c r="AW242" s="532"/>
      <c r="AX242" s="532"/>
      <c r="AY242" s="532"/>
    </row>
    <row r="243" spans="1:51" s="154" customFormat="1" ht="15" x14ac:dyDescent="0.25">
      <c r="B243" s="156" t="str">
        <f>$B$24</f>
        <v>300HP Tractor &amp; 36' cultivator</v>
      </c>
      <c r="C243" s="459">
        <v>0</v>
      </c>
      <c r="D243" s="173">
        <f>$D$24*$C243</f>
        <v>0</v>
      </c>
      <c r="E243" s="173">
        <f>$E$24*$C243</f>
        <v>0</v>
      </c>
      <c r="F243" s="173">
        <f>$F$24*$C243</f>
        <v>0</v>
      </c>
      <c r="G243" s="464">
        <f t="shared" si="59"/>
        <v>0</v>
      </c>
      <c r="H243" s="173">
        <f>$H$24*$C243</f>
        <v>0</v>
      </c>
      <c r="I243" s="173">
        <f>$I$24*$C243</f>
        <v>0</v>
      </c>
      <c r="J243" s="174">
        <f>$J$24*$C243</f>
        <v>0</v>
      </c>
      <c r="K243" s="173">
        <f>$K$24*$C243</f>
        <v>0</v>
      </c>
      <c r="L243" s="174">
        <f>$L$24*$C243</f>
        <v>0</v>
      </c>
      <c r="M243" s="175">
        <f>$M$24*$C243</f>
        <v>0</v>
      </c>
      <c r="N243" s="239">
        <f t="shared" si="60"/>
        <v>0</v>
      </c>
      <c r="O243" s="176"/>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532"/>
      <c r="AR243" s="532"/>
      <c r="AS243" s="532"/>
      <c r="AT243" s="532"/>
      <c r="AU243" s="532"/>
      <c r="AV243" s="532"/>
      <c r="AW243" s="532"/>
      <c r="AX243" s="532"/>
      <c r="AY243" s="532"/>
    </row>
    <row r="244" spans="1:51" s="154" customFormat="1" ht="15" x14ac:dyDescent="0.25">
      <c r="B244" s="156" t="str">
        <f>$B$25</f>
        <v>300HP Tractor &amp; 48' spring tooth harrow</v>
      </c>
      <c r="C244" s="459">
        <v>0</v>
      </c>
      <c r="D244" s="173">
        <f>$D$25*$C244</f>
        <v>0</v>
      </c>
      <c r="E244" s="173">
        <f>$E$25*$C244</f>
        <v>0</v>
      </c>
      <c r="F244" s="173">
        <f>$F$25*$C244</f>
        <v>0</v>
      </c>
      <c r="G244" s="464">
        <f t="shared" si="59"/>
        <v>0</v>
      </c>
      <c r="H244" s="173">
        <f>$H$25*$C244</f>
        <v>0</v>
      </c>
      <c r="I244" s="173">
        <f>$I$25*$C244</f>
        <v>0</v>
      </c>
      <c r="J244" s="174">
        <f>$J$25*$C244</f>
        <v>0</v>
      </c>
      <c r="K244" s="173">
        <f>$K$25*$C244</f>
        <v>0</v>
      </c>
      <c r="L244" s="174">
        <f>$L$25*$C244</f>
        <v>0</v>
      </c>
      <c r="M244" s="175">
        <f>$M$25*$C244</f>
        <v>0</v>
      </c>
      <c r="N244" s="239">
        <f t="shared" si="60"/>
        <v>0</v>
      </c>
      <c r="O244" s="176"/>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532"/>
      <c r="AN244" s="532"/>
      <c r="AO244" s="532"/>
      <c r="AP244" s="532"/>
      <c r="AQ244" s="532"/>
      <c r="AR244" s="532"/>
      <c r="AS244" s="532"/>
      <c r="AT244" s="532"/>
      <c r="AU244" s="532"/>
      <c r="AV244" s="532"/>
      <c r="AW244" s="532"/>
      <c r="AX244" s="532"/>
      <c r="AY244" s="532"/>
    </row>
    <row r="245" spans="1:51" s="154" customFormat="1" ht="15" x14ac:dyDescent="0.25">
      <c r="B245" s="156" t="str">
        <f>$B$26</f>
        <v>300HP Tractor &amp; 36' grain drill</v>
      </c>
      <c r="C245" s="459">
        <v>1</v>
      </c>
      <c r="D245" s="173">
        <f>$D$26*$C245</f>
        <v>1.54</v>
      </c>
      <c r="E245" s="173">
        <f>$E$26*$C245</f>
        <v>1.4</v>
      </c>
      <c r="F245" s="173">
        <f>$F$26*$C245</f>
        <v>0.49</v>
      </c>
      <c r="G245" s="464">
        <f t="shared" si="59"/>
        <v>3.4299999999999997</v>
      </c>
      <c r="H245" s="173">
        <f>$H$26*$C245</f>
        <v>1.02</v>
      </c>
      <c r="I245" s="173">
        <f>$I$26*$C245</f>
        <v>0.56999999999999995</v>
      </c>
      <c r="J245" s="174">
        <f>$J$26*$C245</f>
        <v>1.1200000000000001</v>
      </c>
      <c r="K245" s="173">
        <f>$K$26*$C245</f>
        <v>3.81</v>
      </c>
      <c r="L245" s="174">
        <f>$L$26*$C245</f>
        <v>0.09</v>
      </c>
      <c r="M245" s="175">
        <f>$M$26*$C245</f>
        <v>1.8</v>
      </c>
      <c r="N245" s="239">
        <f t="shared" si="60"/>
        <v>7.2</v>
      </c>
      <c r="O245" s="176"/>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532"/>
      <c r="AN245" s="532"/>
      <c r="AO245" s="532"/>
      <c r="AP245" s="532"/>
      <c r="AQ245" s="532"/>
      <c r="AR245" s="532"/>
      <c r="AS245" s="532"/>
      <c r="AT245" s="532"/>
      <c r="AU245" s="532"/>
      <c r="AV245" s="532"/>
      <c r="AW245" s="532"/>
      <c r="AX245" s="532"/>
      <c r="AY245" s="532"/>
    </row>
    <row r="246" spans="1:51" s="154" customFormat="1" ht="15" x14ac:dyDescent="0.25">
      <c r="B246" s="168" t="str">
        <f>$B$27</f>
        <v>Combine &amp; 30' header  *4 mph harvest speed*</v>
      </c>
      <c r="C246" s="459">
        <v>1</v>
      </c>
      <c r="D246" s="173">
        <f>$D$27*$C246</f>
        <v>2.48</v>
      </c>
      <c r="E246" s="173">
        <f>$E$27*$C246</f>
        <v>2.21</v>
      </c>
      <c r="F246" s="173">
        <f>$F$27*$C246</f>
        <v>0.92</v>
      </c>
      <c r="G246" s="464">
        <f t="shared" si="59"/>
        <v>5.6099999999999994</v>
      </c>
      <c r="H246" s="173">
        <f>$H$27*$C246</f>
        <v>2.29</v>
      </c>
      <c r="I246" s="173">
        <f>$I$27*$C246</f>
        <v>0.27</v>
      </c>
      <c r="J246" s="174">
        <f>$J$27*$C246</f>
        <v>0.52</v>
      </c>
      <c r="K246" s="173">
        <f>$K$27*$C246</f>
        <v>1.77</v>
      </c>
      <c r="L246" s="174">
        <f>$L$27*$C246</f>
        <v>0.09</v>
      </c>
      <c r="M246" s="175">
        <f>$M$27*$C246</f>
        <v>1.8</v>
      </c>
      <c r="N246" s="239">
        <f t="shared" si="60"/>
        <v>6.13</v>
      </c>
      <c r="O246" s="176"/>
      <c r="P246" s="533"/>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532"/>
      <c r="AN246" s="532"/>
      <c r="AO246" s="532"/>
      <c r="AP246" s="532"/>
      <c r="AQ246" s="532"/>
      <c r="AR246" s="532"/>
      <c r="AS246" s="532"/>
      <c r="AT246" s="532"/>
      <c r="AU246" s="532"/>
      <c r="AV246" s="532"/>
      <c r="AW246" s="532"/>
      <c r="AX246" s="532"/>
      <c r="AY246" s="532"/>
    </row>
    <row r="247" spans="1:51" ht="15" x14ac:dyDescent="0.25">
      <c r="A247" s="532"/>
      <c r="B247" s="168" t="str">
        <f>$B$28</f>
        <v>Combine &amp; 30' header *3 mph harvest speed*</v>
      </c>
      <c r="C247" s="459">
        <v>0</v>
      </c>
      <c r="D247" s="173">
        <f>$D$28*$C247</f>
        <v>0</v>
      </c>
      <c r="E247" s="173">
        <f>$E$28*$C247</f>
        <v>0</v>
      </c>
      <c r="F247" s="173">
        <f>$F$28*$C247</f>
        <v>0</v>
      </c>
      <c r="G247" s="464">
        <f t="shared" si="59"/>
        <v>0</v>
      </c>
      <c r="H247" s="173">
        <f>$H$28*$C247</f>
        <v>0</v>
      </c>
      <c r="I247" s="173">
        <f>$I$28*$C247</f>
        <v>0</v>
      </c>
      <c r="J247" s="174">
        <f>$J$28*$C247</f>
        <v>0</v>
      </c>
      <c r="K247" s="173">
        <f>$K$28*$C247</f>
        <v>0</v>
      </c>
      <c r="L247" s="174">
        <f>$L$28*$C247</f>
        <v>0</v>
      </c>
      <c r="M247" s="175">
        <f>$M$28*$C247</f>
        <v>0</v>
      </c>
      <c r="N247" s="239">
        <f t="shared" si="60"/>
        <v>0</v>
      </c>
      <c r="O247" s="176"/>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532"/>
      <c r="AN247" s="532"/>
      <c r="AO247" s="532"/>
      <c r="AP247" s="532"/>
      <c r="AQ247" s="532"/>
      <c r="AR247" s="532"/>
      <c r="AS247" s="532"/>
      <c r="AT247" s="532"/>
      <c r="AU247" s="532"/>
      <c r="AV247" s="532"/>
      <c r="AW247" s="532"/>
      <c r="AX247" s="532"/>
      <c r="AY247" s="532"/>
    </row>
    <row r="248" spans="1:51" s="154" customFormat="1" ht="15" x14ac:dyDescent="0.25">
      <c r="B248" s="168" t="str">
        <f>$B$29</f>
        <v>300HP Tractor &amp; Bankout wagon</v>
      </c>
      <c r="C248" s="459">
        <v>1</v>
      </c>
      <c r="D248" s="173">
        <f>$D$29*$C248</f>
        <v>0.9163</v>
      </c>
      <c r="E248" s="173">
        <f>$E$29*$C248</f>
        <v>0.53899999999999992</v>
      </c>
      <c r="F248" s="173">
        <f>$F$29*$C248</f>
        <v>8.4699999999999998E-2</v>
      </c>
      <c r="G248" s="464">
        <f t="shared" si="59"/>
        <v>1.5399999999999998</v>
      </c>
      <c r="H248" s="173">
        <f>$H$29*$C248</f>
        <v>0.40810000000000002</v>
      </c>
      <c r="I248" s="173">
        <f>$I$29*$C248</f>
        <v>0.25</v>
      </c>
      <c r="J248" s="174">
        <f>$J$29*$C248</f>
        <v>0.49</v>
      </c>
      <c r="K248" s="173">
        <f>$K$29*$C248</f>
        <v>1.67</v>
      </c>
      <c r="L248" s="174">
        <f>$L$29*$C248</f>
        <v>0.09</v>
      </c>
      <c r="M248" s="175">
        <f>$M$29*$C248</f>
        <v>1.8</v>
      </c>
      <c r="N248" s="239">
        <f t="shared" si="60"/>
        <v>4.1280999999999999</v>
      </c>
      <c r="O248" s="176"/>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c r="AM248" s="532"/>
      <c r="AN248" s="532"/>
      <c r="AO248" s="532"/>
      <c r="AP248" s="532"/>
      <c r="AQ248" s="532"/>
      <c r="AR248" s="532"/>
      <c r="AS248" s="532"/>
      <c r="AT248" s="532"/>
      <c r="AU248" s="532"/>
      <c r="AV248" s="532"/>
      <c r="AW248" s="532"/>
      <c r="AX248" s="532"/>
      <c r="AY248" s="532"/>
    </row>
    <row r="249" spans="1:51" s="154" customFormat="1" ht="15" x14ac:dyDescent="0.25">
      <c r="B249" s="255" t="str">
        <f>$B$30</f>
        <v>Annual Costs:</v>
      </c>
      <c r="C249" s="454"/>
      <c r="D249" s="268"/>
      <c r="E249" s="268"/>
      <c r="F249" s="268"/>
      <c r="G249" s="465"/>
      <c r="H249" s="269"/>
      <c r="I249" s="269"/>
      <c r="J249" s="270"/>
      <c r="K249" s="269"/>
      <c r="L249" s="270"/>
      <c r="M249" s="271"/>
      <c r="N249" s="272"/>
      <c r="O249" s="273"/>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2"/>
      <c r="AY249" s="532"/>
    </row>
    <row r="250" spans="1:51" s="154" customFormat="1" ht="15" x14ac:dyDescent="0.25">
      <c r="B250" s="261" t="str">
        <f>$B$31</f>
        <v>Tandem axle truck</v>
      </c>
      <c r="C250" s="458"/>
      <c r="D250" s="274">
        <f>$D$31</f>
        <v>0.39</v>
      </c>
      <c r="E250" s="274">
        <f>$E$31</f>
        <v>0.44</v>
      </c>
      <c r="F250" s="274">
        <f>$F$31</f>
        <v>0.72</v>
      </c>
      <c r="G250" s="466">
        <f>$G$31</f>
        <v>1.55</v>
      </c>
      <c r="H250" s="274">
        <f>$H$31</f>
        <v>0.56999999999999995</v>
      </c>
      <c r="I250" s="274">
        <f>$I$31</f>
        <v>0.04</v>
      </c>
      <c r="J250" s="275">
        <f>$J$31</f>
        <v>7.0000000000000007E-2</v>
      </c>
      <c r="K250" s="274">
        <f>$K$31</f>
        <v>0.24</v>
      </c>
      <c r="L250" s="275">
        <f>$L$31</f>
        <v>0.03</v>
      </c>
      <c r="M250" s="266">
        <f>$M$31</f>
        <v>0.51</v>
      </c>
      <c r="N250" s="276">
        <f t="shared" ref="N250:N255" si="61">SUM(H250,I250,K250,M250)</f>
        <v>1.3599999999999999</v>
      </c>
      <c r="O250" s="277"/>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row>
    <row r="251" spans="1:51" s="154" customFormat="1" ht="15" x14ac:dyDescent="0.25">
      <c r="B251" s="261" t="str">
        <f>$B$32</f>
        <v>Tandem axle truck</v>
      </c>
      <c r="C251" s="458"/>
      <c r="D251" s="274">
        <f>$D$32</f>
        <v>0.39</v>
      </c>
      <c r="E251" s="274">
        <f>$E$32</f>
        <v>0.44</v>
      </c>
      <c r="F251" s="274">
        <f>$F$32</f>
        <v>0.72</v>
      </c>
      <c r="G251" s="466">
        <f>$G$32</f>
        <v>1.55</v>
      </c>
      <c r="H251" s="274">
        <f>$H$32</f>
        <v>0.56999999999999995</v>
      </c>
      <c r="I251" s="274">
        <f>$I$32</f>
        <v>0.04</v>
      </c>
      <c r="J251" s="275">
        <f>$J$32</f>
        <v>7.0000000000000007E-2</v>
      </c>
      <c r="K251" s="274">
        <f>$K$32</f>
        <v>0.24</v>
      </c>
      <c r="L251" s="275">
        <f>$L$32</f>
        <v>0.03</v>
      </c>
      <c r="M251" s="266">
        <f>$M$32</f>
        <v>0.51</v>
      </c>
      <c r="N251" s="276">
        <f t="shared" si="61"/>
        <v>1.3599999999999999</v>
      </c>
      <c r="O251" s="277"/>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c r="AM251" s="532"/>
      <c r="AN251" s="532"/>
      <c r="AO251" s="532"/>
      <c r="AP251" s="532"/>
      <c r="AQ251" s="532"/>
      <c r="AR251" s="532"/>
      <c r="AS251" s="532"/>
      <c r="AT251" s="532"/>
      <c r="AU251" s="532"/>
      <c r="AV251" s="532"/>
      <c r="AW251" s="532"/>
      <c r="AX251" s="532"/>
      <c r="AY251" s="532"/>
    </row>
    <row r="252" spans="1:51" s="154" customFormat="1" ht="15" x14ac:dyDescent="0.25">
      <c r="B252" s="261" t="str">
        <f>$B$33</f>
        <v>2-ton truck</v>
      </c>
      <c r="C252" s="458"/>
      <c r="D252" s="274">
        <f>$D$33</f>
        <v>0.32</v>
      </c>
      <c r="E252" s="274">
        <f>$E$33</f>
        <v>0.26</v>
      </c>
      <c r="F252" s="274">
        <f>$F$33</f>
        <v>0.42</v>
      </c>
      <c r="G252" s="466">
        <f>$G$33</f>
        <v>1</v>
      </c>
      <c r="H252" s="274">
        <f>$H$33</f>
        <v>0.28999999999999998</v>
      </c>
      <c r="I252" s="274">
        <f>$I$33</f>
        <v>0.03</v>
      </c>
      <c r="J252" s="275">
        <f>$J$33</f>
        <v>0.05</v>
      </c>
      <c r="K252" s="274">
        <f>$K$33</f>
        <v>0.17</v>
      </c>
      <c r="L252" s="275">
        <f>$L$33</f>
        <v>0.02</v>
      </c>
      <c r="M252" s="266">
        <f>$M$33</f>
        <v>0.34</v>
      </c>
      <c r="N252" s="276">
        <f t="shared" si="61"/>
        <v>0.83000000000000007</v>
      </c>
      <c r="O252" s="277"/>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c r="AM252" s="532"/>
      <c r="AN252" s="532"/>
      <c r="AO252" s="532"/>
      <c r="AP252" s="532"/>
      <c r="AQ252" s="532"/>
      <c r="AR252" s="532"/>
      <c r="AS252" s="532"/>
      <c r="AT252" s="532"/>
      <c r="AU252" s="532"/>
      <c r="AV252" s="532"/>
      <c r="AW252" s="532"/>
      <c r="AX252" s="532"/>
      <c r="AY252" s="532"/>
    </row>
    <row r="253" spans="1:51" s="154" customFormat="1" ht="15" x14ac:dyDescent="0.25">
      <c r="B253" s="261" t="str">
        <f>$B$34</f>
        <v>Trap wagon</v>
      </c>
      <c r="C253" s="458"/>
      <c r="D253" s="274">
        <f>$D$34</f>
        <v>0.35</v>
      </c>
      <c r="E253" s="274">
        <f>$E$34</f>
        <v>0.16</v>
      </c>
      <c r="F253" s="274">
        <f>$F$34</f>
        <v>0.26</v>
      </c>
      <c r="G253" s="466">
        <f>$G$34</f>
        <v>0.77</v>
      </c>
      <c r="H253" s="274">
        <f>$H$34</f>
        <v>0.12</v>
      </c>
      <c r="I253" s="274">
        <f>$I$34</f>
        <v>0.03</v>
      </c>
      <c r="J253" s="275">
        <f>$J$34</f>
        <v>0.05</v>
      </c>
      <c r="K253" s="274">
        <f>$K$34</f>
        <v>0.17</v>
      </c>
      <c r="L253" s="275">
        <f>$L$34</f>
        <v>0.02</v>
      </c>
      <c r="M253" s="266">
        <f>$M$34</f>
        <v>0.34</v>
      </c>
      <c r="N253" s="276">
        <f t="shared" si="61"/>
        <v>0.66</v>
      </c>
      <c r="O253" s="277"/>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c r="AM253" s="532"/>
      <c r="AN253" s="532"/>
      <c r="AO253" s="532"/>
      <c r="AP253" s="532"/>
      <c r="AQ253" s="532"/>
      <c r="AR253" s="532"/>
      <c r="AS253" s="532"/>
      <c r="AT253" s="532"/>
      <c r="AU253" s="532"/>
      <c r="AV253" s="532"/>
      <c r="AW253" s="532"/>
      <c r="AX253" s="532"/>
      <c r="AY253" s="532"/>
    </row>
    <row r="254" spans="1:51" s="154" customFormat="1" ht="15" x14ac:dyDescent="0.25">
      <c r="B254" s="261" t="str">
        <f>$B$35</f>
        <v>3/4-ton pick-up</v>
      </c>
      <c r="C254" s="458"/>
      <c r="D254" s="274">
        <f>$D$35</f>
        <v>0.6</v>
      </c>
      <c r="E254" s="274">
        <f>$E$35</f>
        <v>0.42</v>
      </c>
      <c r="F254" s="274">
        <f>$F$35</f>
        <v>0.45</v>
      </c>
      <c r="G254" s="466">
        <f>$G$35</f>
        <v>1.47</v>
      </c>
      <c r="H254" s="274">
        <f>$H$35</f>
        <v>0.17</v>
      </c>
      <c r="I254" s="274">
        <f>$I$35</f>
        <v>0.02</v>
      </c>
      <c r="J254" s="275">
        <f>$J$35</f>
        <v>0.03</v>
      </c>
      <c r="K254" s="274">
        <f>$K$35</f>
        <v>0.11</v>
      </c>
      <c r="L254" s="275">
        <f>$L$35</f>
        <v>0.01</v>
      </c>
      <c r="M254" s="266">
        <f>$M$35</f>
        <v>0.17</v>
      </c>
      <c r="N254" s="276">
        <f t="shared" si="61"/>
        <v>0.47</v>
      </c>
      <c r="O254" s="277"/>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c r="AM254" s="532"/>
      <c r="AN254" s="532"/>
      <c r="AO254" s="532"/>
      <c r="AP254" s="532"/>
      <c r="AQ254" s="532"/>
      <c r="AR254" s="532"/>
      <c r="AS254" s="532"/>
      <c r="AT254" s="532"/>
      <c r="AU254" s="532"/>
      <c r="AV254" s="532"/>
      <c r="AW254" s="532"/>
      <c r="AX254" s="532"/>
      <c r="AY254" s="532"/>
    </row>
    <row r="255" spans="1:51" s="154" customFormat="1" ht="15" x14ac:dyDescent="0.25">
      <c r="B255" s="261" t="str">
        <f>$B$36</f>
        <v>ATV</v>
      </c>
      <c r="C255" s="458"/>
      <c r="D255" s="274">
        <f>$D$36</f>
        <v>0.25</v>
      </c>
      <c r="E255" s="274">
        <f>$E$36</f>
        <v>0.14000000000000001</v>
      </c>
      <c r="F255" s="274">
        <f>$F$36</f>
        <v>0.03</v>
      </c>
      <c r="G255" s="466">
        <f>$G$36</f>
        <v>0.42000000000000004</v>
      </c>
      <c r="H255" s="274">
        <f>$H$36</f>
        <v>0.05</v>
      </c>
      <c r="I255" s="274">
        <f>$I$36</f>
        <v>0.06</v>
      </c>
      <c r="J255" s="275">
        <f>$J$36</f>
        <v>0.12</v>
      </c>
      <c r="K255" s="274">
        <f>$K$36</f>
        <v>0.42</v>
      </c>
      <c r="L255" s="275">
        <f>$L$36</f>
        <v>0.11</v>
      </c>
      <c r="M255" s="266">
        <f>$M$36</f>
        <v>1.87</v>
      </c>
      <c r="N255" s="276">
        <f t="shared" si="61"/>
        <v>2.4000000000000004</v>
      </c>
      <c r="O255" s="277"/>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c r="AM255" s="532"/>
      <c r="AN255" s="532"/>
      <c r="AO255" s="532"/>
      <c r="AP255" s="532"/>
      <c r="AQ255" s="532"/>
      <c r="AR255" s="532"/>
      <c r="AS255" s="532"/>
      <c r="AT255" s="532"/>
      <c r="AU255" s="532"/>
      <c r="AV255" s="532"/>
      <c r="AW255" s="532"/>
      <c r="AX255" s="532"/>
      <c r="AY255" s="532"/>
    </row>
    <row r="256" spans="1:51" s="154" customFormat="1" ht="13.5" thickBot="1" x14ac:dyDescent="0.25">
      <c r="B256" s="692" t="str">
        <f>$B$37</f>
        <v>Cost $/Acre</v>
      </c>
      <c r="C256" s="693"/>
      <c r="D256" s="237">
        <f t="shared" ref="D256:N256" si="62">SUM(D236:D255)</f>
        <v>10.876300000000001</v>
      </c>
      <c r="E256" s="237">
        <f t="shared" si="62"/>
        <v>9.7690000000000001</v>
      </c>
      <c r="F256" s="237">
        <f t="shared" si="62"/>
        <v>5.9546999999999999</v>
      </c>
      <c r="G256" s="237">
        <f t="shared" si="62"/>
        <v>26.599999999999998</v>
      </c>
      <c r="H256" s="237">
        <f t="shared" si="62"/>
        <v>6.3681000000000001</v>
      </c>
      <c r="I256" s="237">
        <f t="shared" si="62"/>
        <v>1.35</v>
      </c>
      <c r="J256" s="159">
        <f t="shared" si="62"/>
        <v>2.5999999999999992</v>
      </c>
      <c r="K256" s="237">
        <f t="shared" si="62"/>
        <v>8.879999999999999</v>
      </c>
      <c r="L256" s="159">
        <f t="shared" si="62"/>
        <v>0.53</v>
      </c>
      <c r="M256" s="237">
        <f t="shared" si="62"/>
        <v>9.9400000000000013</v>
      </c>
      <c r="N256" s="237">
        <f t="shared" si="62"/>
        <v>26.5381</v>
      </c>
      <c r="O256" s="157">
        <f>SUM(G256,N256)</f>
        <v>53.138099999999994</v>
      </c>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c r="AM256" s="532"/>
      <c r="AN256" s="532"/>
      <c r="AO256" s="532"/>
      <c r="AP256" s="532"/>
      <c r="AQ256" s="532"/>
      <c r="AR256" s="532"/>
      <c r="AS256" s="532"/>
      <c r="AT256" s="532"/>
      <c r="AU256" s="532"/>
      <c r="AV256" s="532"/>
      <c r="AW256" s="532"/>
      <c r="AX256" s="532"/>
      <c r="AY256" s="532"/>
    </row>
    <row r="257" spans="1:51" s="154" customFormat="1" ht="12.75" x14ac:dyDescent="0.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row>
    <row r="258" spans="1:51" s="121" customFormat="1" ht="12.75" x14ac:dyDescent="0.2">
      <c r="A258" s="154"/>
      <c r="B258" s="154"/>
      <c r="C258" s="154"/>
      <c r="D258" s="154"/>
      <c r="E258" s="154"/>
      <c r="F258" s="154"/>
      <c r="G258" s="154"/>
      <c r="H258" s="154"/>
      <c r="I258" s="154"/>
      <c r="J258" s="154"/>
      <c r="K258" s="154"/>
      <c r="L258" s="154"/>
      <c r="M258" s="154"/>
      <c r="N258" s="154"/>
      <c r="O258" s="154"/>
      <c r="T258" s="532"/>
      <c r="U258" s="532"/>
      <c r="V258" s="532"/>
      <c r="W258" s="532"/>
      <c r="X258" s="532"/>
      <c r="Y258" s="532"/>
      <c r="Z258" s="532"/>
      <c r="AA258" s="532"/>
      <c r="AB258" s="532"/>
    </row>
    <row r="259" spans="1:51" s="154" customFormat="1" ht="15.75" x14ac:dyDescent="0.25">
      <c r="A259" s="121"/>
      <c r="B259" s="492" t="s">
        <v>416</v>
      </c>
      <c r="C259" s="493"/>
      <c r="D259" s="493"/>
      <c r="E259" s="493"/>
      <c r="F259" s="493"/>
      <c r="G259" s="493"/>
      <c r="H259" s="493"/>
      <c r="I259" s="493"/>
      <c r="J259" s="493"/>
      <c r="K259" s="623" t="s">
        <v>526</v>
      </c>
      <c r="L259" s="493"/>
      <c r="M259" s="493"/>
      <c r="N259" s="493"/>
      <c r="O259" s="494" t="s">
        <v>531</v>
      </c>
      <c r="P259" s="198"/>
      <c r="Q259" s="532"/>
      <c r="R259" s="532"/>
      <c r="S259" s="532"/>
      <c r="T259" s="121"/>
      <c r="U259" s="532"/>
      <c r="V259" s="532"/>
      <c r="W259" s="532"/>
      <c r="X259" s="532"/>
      <c r="Y259" s="532"/>
      <c r="Z259" s="532"/>
      <c r="AA259" s="532"/>
      <c r="AB259" s="532"/>
      <c r="AC259" s="532"/>
      <c r="AD259" s="532"/>
      <c r="AE259" s="532"/>
      <c r="AF259" s="532"/>
      <c r="AG259" s="532"/>
      <c r="AH259" s="532"/>
      <c r="AI259" s="532"/>
      <c r="AJ259" s="532"/>
      <c r="AK259" s="532"/>
      <c r="AL259" s="532"/>
      <c r="AM259" s="532"/>
      <c r="AN259" s="532"/>
      <c r="AO259" s="532"/>
      <c r="AP259" s="532"/>
      <c r="AQ259" s="532"/>
      <c r="AR259" s="532"/>
      <c r="AS259" s="532"/>
      <c r="AT259" s="532"/>
      <c r="AU259" s="532"/>
      <c r="AV259" s="532"/>
      <c r="AW259" s="532"/>
      <c r="AX259" s="532"/>
      <c r="AY259" s="532"/>
    </row>
    <row r="260" spans="1:51" s="154" customFormat="1" ht="15" x14ac:dyDescent="0.25">
      <c r="B260" s="487"/>
      <c r="C260" s="488"/>
      <c r="D260" s="728" t="s">
        <v>173</v>
      </c>
      <c r="E260" s="729"/>
      <c r="F260" s="729"/>
      <c r="G260" s="730"/>
      <c r="H260" s="731" t="str">
        <f>$H$13</f>
        <v>Variable Costs</v>
      </c>
      <c r="I260" s="731">
        <f t="shared" ref="I260:N260" si="63">I210</f>
        <v>0.74</v>
      </c>
      <c r="J260" s="731">
        <f t="shared" si="63"/>
        <v>1.46</v>
      </c>
      <c r="K260" s="731">
        <f t="shared" si="63"/>
        <v>4.96</v>
      </c>
      <c r="L260" s="731">
        <f t="shared" si="63"/>
        <v>0.12</v>
      </c>
      <c r="M260" s="731">
        <f t="shared" si="63"/>
        <v>2.4</v>
      </c>
      <c r="N260" s="731">
        <f t="shared" si="63"/>
        <v>9.4</v>
      </c>
      <c r="O260" s="713" t="str">
        <f>$O$13</f>
        <v>Total Cost ($/Acre)</v>
      </c>
      <c r="P260" s="198" t="s">
        <v>417</v>
      </c>
      <c r="Q260" s="532"/>
      <c r="R260" s="532"/>
      <c r="S260" s="532"/>
      <c r="T260" s="532"/>
      <c r="U260" s="121"/>
      <c r="V260" s="121"/>
      <c r="W260" s="121"/>
      <c r="X260" s="121"/>
      <c r="Y260" s="121"/>
      <c r="Z260" s="121"/>
      <c r="AA260" s="121"/>
      <c r="AB260" s="121"/>
      <c r="AC260" s="532"/>
      <c r="AD260" s="532"/>
      <c r="AE260" s="532"/>
      <c r="AF260" s="532"/>
      <c r="AG260" s="532"/>
      <c r="AH260" s="532"/>
      <c r="AI260" s="532"/>
      <c r="AJ260" s="532"/>
      <c r="AK260" s="532"/>
      <c r="AL260" s="532"/>
      <c r="AM260" s="532"/>
      <c r="AN260" s="532"/>
      <c r="AO260" s="532"/>
      <c r="AP260" s="532"/>
      <c r="AQ260" s="532"/>
      <c r="AR260" s="532"/>
      <c r="AS260" s="532"/>
      <c r="AT260" s="532"/>
      <c r="AU260" s="532"/>
      <c r="AV260" s="532"/>
      <c r="AW260" s="532"/>
      <c r="AX260" s="532"/>
      <c r="AY260" s="532"/>
    </row>
    <row r="261" spans="1:51" s="154" customFormat="1" ht="12.75" x14ac:dyDescent="0.2">
      <c r="B261" s="714" t="str">
        <f>$B$14</f>
        <v>Operation</v>
      </c>
      <c r="C261" s="476"/>
      <c r="D261" s="694" t="str">
        <f>$D$14</f>
        <v>Depreciation</v>
      </c>
      <c r="E261" s="694" t="str">
        <f>$E$14</f>
        <v>Interest</v>
      </c>
      <c r="F261" s="694" t="str">
        <f>$F$14</f>
        <v>Taxes, housing, insurance, licenses</v>
      </c>
      <c r="G261" s="690" t="str">
        <f>$G$14</f>
        <v>Total Fixed Costs</v>
      </c>
      <c r="H261" s="694" t="str">
        <f>$H$14</f>
        <v>Repairs</v>
      </c>
      <c r="I261" s="694" t="str">
        <f>$I$14</f>
        <v>Lube Cost</v>
      </c>
      <c r="J261" s="703" t="str">
        <f>$J$14</f>
        <v>Fuel</v>
      </c>
      <c r="K261" s="703">
        <f>K215</f>
        <v>0</v>
      </c>
      <c r="L261" s="703" t="str">
        <f>$L$14</f>
        <v>Labor</v>
      </c>
      <c r="M261" s="703">
        <f>M215</f>
        <v>0</v>
      </c>
      <c r="N261" s="690" t="str">
        <f>$N$14</f>
        <v>Total Variable Costs</v>
      </c>
      <c r="O261" s="713"/>
      <c r="P261" s="590" t="s">
        <v>459</v>
      </c>
      <c r="Q261" s="532"/>
      <c r="R261" s="532"/>
      <c r="S261" s="532"/>
      <c r="T261" s="532"/>
      <c r="U261" s="532"/>
      <c r="V261" s="532"/>
      <c r="W261" s="532"/>
      <c r="X261" s="532"/>
      <c r="Y261" s="532"/>
      <c r="Z261" s="532"/>
      <c r="AA261" s="532"/>
      <c r="AB261" s="532"/>
      <c r="AC261" s="532"/>
      <c r="AD261" s="532"/>
      <c r="AE261" s="532"/>
      <c r="AF261" s="532"/>
      <c r="AG261" s="532"/>
      <c r="AH261" s="532"/>
      <c r="AI261" s="532"/>
      <c r="AJ261" s="532"/>
      <c r="AK261" s="532"/>
      <c r="AL261" s="532"/>
      <c r="AM261" s="532"/>
      <c r="AN261" s="532"/>
      <c r="AO261" s="532"/>
      <c r="AP261" s="532"/>
      <c r="AQ261" s="532"/>
      <c r="AR261" s="532"/>
      <c r="AS261" s="532"/>
      <c r="AT261" s="532"/>
      <c r="AU261" s="532"/>
      <c r="AV261" s="532"/>
      <c r="AW261" s="532"/>
      <c r="AX261" s="532"/>
      <c r="AY261" s="532"/>
    </row>
    <row r="262" spans="1:51" s="154" customFormat="1" ht="42.75" customHeight="1" x14ac:dyDescent="0.2">
      <c r="B262" s="715" t="str">
        <f>B216</f>
        <v>300HP Tractor &amp; 48' spring tooth harrow</v>
      </c>
      <c r="C262" s="475" t="s">
        <v>208</v>
      </c>
      <c r="D262" s="695"/>
      <c r="E262" s="695"/>
      <c r="F262" s="695"/>
      <c r="G262" s="691"/>
      <c r="H262" s="700">
        <f>H216</f>
        <v>0</v>
      </c>
      <c r="I262" s="700">
        <f>I216</f>
        <v>0</v>
      </c>
      <c r="J262" s="474" t="str">
        <f>$J$15</f>
        <v>Fuel Use gal/acre</v>
      </c>
      <c r="K262" s="474" t="str">
        <f>$K$15</f>
        <v>Fuel Cost</v>
      </c>
      <c r="L262" s="474" t="str">
        <f>$L$15</f>
        <v>Labor hrs/acre</v>
      </c>
      <c r="M262" s="474" t="str">
        <f>$M$15</f>
        <v>Labor Cost</v>
      </c>
      <c r="N262" s="691"/>
      <c r="O262" s="691"/>
      <c r="P262" s="532"/>
      <c r="Q262" s="532"/>
      <c r="R262" s="532"/>
      <c r="S262" s="532"/>
      <c r="T262" s="532"/>
      <c r="U262" s="532"/>
      <c r="V262" s="532"/>
      <c r="W262" s="532"/>
      <c r="X262" s="532"/>
      <c r="Y262" s="532"/>
      <c r="Z262" s="532"/>
      <c r="AA262" s="532"/>
      <c r="AB262" s="532"/>
      <c r="AC262" s="532"/>
      <c r="AD262" s="532"/>
      <c r="AE262" s="532"/>
      <c r="AF262" s="532"/>
      <c r="AG262" s="532"/>
      <c r="AH262" s="532"/>
      <c r="AI262" s="532"/>
      <c r="AJ262" s="532"/>
      <c r="AK262" s="532"/>
      <c r="AL262" s="532"/>
      <c r="AM262" s="532"/>
      <c r="AN262" s="532"/>
      <c r="AO262" s="532"/>
      <c r="AP262" s="532"/>
      <c r="AQ262" s="532"/>
      <c r="AR262" s="532"/>
      <c r="AS262" s="532"/>
      <c r="AT262" s="532"/>
      <c r="AU262" s="532"/>
      <c r="AV262" s="532"/>
      <c r="AW262" s="532"/>
      <c r="AX262" s="532"/>
      <c r="AY262" s="532"/>
    </row>
    <row r="263" spans="1:51" s="154" customFormat="1" ht="12.75" x14ac:dyDescent="0.2">
      <c r="B263" s="165" t="str">
        <f>$B$16</f>
        <v>Seasonal operations:</v>
      </c>
      <c r="C263" s="457"/>
      <c r="D263" s="460"/>
      <c r="E263" s="460"/>
      <c r="F263" s="460"/>
      <c r="G263" s="461"/>
      <c r="H263" s="166"/>
      <c r="I263" s="166"/>
      <c r="J263" s="170"/>
      <c r="K263" s="170"/>
      <c r="L263" s="170"/>
      <c r="M263" s="170"/>
      <c r="N263" s="171"/>
      <c r="O263" s="167"/>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c r="AM263" s="532"/>
      <c r="AN263" s="532"/>
      <c r="AO263" s="532"/>
      <c r="AP263" s="532"/>
      <c r="AQ263" s="532"/>
      <c r="AR263" s="532"/>
      <c r="AS263" s="532"/>
      <c r="AT263" s="532"/>
      <c r="AU263" s="532"/>
      <c r="AV263" s="532"/>
      <c r="AW263" s="532"/>
      <c r="AX263" s="532"/>
      <c r="AY263" s="532"/>
    </row>
    <row r="264" spans="1:51" ht="15" x14ac:dyDescent="0.25">
      <c r="A264" s="532"/>
      <c r="B264" s="164" t="str">
        <f>$B$17</f>
        <v>Self-propelled sprayer</v>
      </c>
      <c r="C264" s="459">
        <v>1</v>
      </c>
      <c r="D264" s="173">
        <f>$D$17*$C264</f>
        <v>1.82</v>
      </c>
      <c r="E264" s="173">
        <f>$E$17*$C264</f>
        <v>1.88</v>
      </c>
      <c r="F264" s="173">
        <f>$F$17*$C264</f>
        <v>0.93</v>
      </c>
      <c r="G264" s="464">
        <f>SUM(D264:F264)</f>
        <v>4.63</v>
      </c>
      <c r="H264" s="173">
        <f>$H$17*$C264</f>
        <v>0.44</v>
      </c>
      <c r="I264" s="173">
        <f>$I$17*$C264</f>
        <v>0.02</v>
      </c>
      <c r="J264" s="174">
        <f>$J$17*$C264</f>
        <v>0.04</v>
      </c>
      <c r="K264" s="173">
        <f>$K$17*$C264</f>
        <v>0.14000000000000001</v>
      </c>
      <c r="L264" s="174">
        <f>$L$17*$C264</f>
        <v>0.02</v>
      </c>
      <c r="M264" s="175">
        <f>$M$17*$C264</f>
        <v>0.4</v>
      </c>
      <c r="N264" s="239">
        <f t="shared" ref="N264:N269" si="64">SUM(H264,I264,K264,M264)</f>
        <v>1</v>
      </c>
      <c r="O264" s="176"/>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c r="AM264" s="532"/>
      <c r="AN264" s="532"/>
      <c r="AO264" s="532"/>
      <c r="AP264" s="532"/>
      <c r="AQ264" s="532"/>
      <c r="AR264" s="532"/>
      <c r="AS264" s="532"/>
      <c r="AT264" s="532"/>
      <c r="AU264" s="532"/>
      <c r="AV264" s="532"/>
      <c r="AW264" s="532"/>
      <c r="AX264" s="532"/>
      <c r="AY264" s="532"/>
    </row>
    <row r="265" spans="1:51" ht="15" x14ac:dyDescent="0.25">
      <c r="A265" s="532"/>
      <c r="B265" s="164" t="str">
        <f>$B$18</f>
        <v>300HP Tractor &amp; 90' sprayer</v>
      </c>
      <c r="C265" s="459">
        <v>0</v>
      </c>
      <c r="D265" s="173">
        <f>$D$18*$C265</f>
        <v>0</v>
      </c>
      <c r="E265" s="173">
        <f>$E$18*$C265</f>
        <v>0</v>
      </c>
      <c r="F265" s="173">
        <f>$F$18*$C265</f>
        <v>0</v>
      </c>
      <c r="G265" s="464">
        <f>SUM(D265:F265)</f>
        <v>0</v>
      </c>
      <c r="H265" s="173">
        <f>$H$18*$C265</f>
        <v>0</v>
      </c>
      <c r="I265" s="173">
        <f>$I$18*$C265</f>
        <v>0</v>
      </c>
      <c r="J265" s="174">
        <f>$J$18*$C265</f>
        <v>0</v>
      </c>
      <c r="K265" s="173">
        <f>$K$18*$C265</f>
        <v>0</v>
      </c>
      <c r="L265" s="174">
        <f>$L$18*$C265</f>
        <v>0</v>
      </c>
      <c r="M265" s="175">
        <f>$M$18*$C265</f>
        <v>0</v>
      </c>
      <c r="N265" s="239">
        <f t="shared" si="64"/>
        <v>0</v>
      </c>
      <c r="O265" s="176"/>
      <c r="P265" s="532"/>
      <c r="Q265" s="532"/>
      <c r="R265" s="532"/>
      <c r="S265" s="532"/>
      <c r="T265" s="532"/>
      <c r="U265" s="532"/>
      <c r="V265" s="532"/>
      <c r="W265" s="532"/>
      <c r="X265" s="532"/>
      <c r="Y265" s="532"/>
      <c r="Z265" s="532"/>
      <c r="AA265" s="532"/>
      <c r="AB265" s="532"/>
      <c r="AC265" s="532"/>
      <c r="AD265" s="532"/>
      <c r="AE265" s="532"/>
      <c r="AF265" s="532"/>
      <c r="AG265" s="532"/>
      <c r="AH265" s="532"/>
      <c r="AI265" s="532"/>
      <c r="AJ265" s="532"/>
      <c r="AK265" s="532"/>
      <c r="AL265" s="532"/>
      <c r="AM265" s="532"/>
      <c r="AN265" s="532"/>
      <c r="AO265" s="532"/>
      <c r="AP265" s="532"/>
      <c r="AQ265" s="532"/>
      <c r="AR265" s="532"/>
      <c r="AS265" s="532"/>
      <c r="AT265" s="532"/>
      <c r="AU265" s="532"/>
      <c r="AV265" s="532"/>
      <c r="AW265" s="532"/>
      <c r="AX265" s="532"/>
      <c r="AY265" s="532"/>
    </row>
    <row r="266" spans="1:51" s="154" customFormat="1" ht="15" x14ac:dyDescent="0.25">
      <c r="B266" s="156" t="str">
        <f>$B$19</f>
        <v>300HP Tractor &amp; 48' rodweeder</v>
      </c>
      <c r="C266" s="459">
        <v>2</v>
      </c>
      <c r="D266" s="173">
        <f>$D$19*$C266</f>
        <v>3.36</v>
      </c>
      <c r="E266" s="173">
        <f>$E$19*$C266</f>
        <v>2.2200000000000002</v>
      </c>
      <c r="F266" s="173">
        <f>$F$19*$C266</f>
        <v>0.38</v>
      </c>
      <c r="G266" s="464">
        <f>SUM(D266:F266)</f>
        <v>5.96</v>
      </c>
      <c r="H266" s="173">
        <f>$H$19*$C266</f>
        <v>1.3</v>
      </c>
      <c r="I266" s="173">
        <f>$I$19*$C266</f>
        <v>0.74</v>
      </c>
      <c r="J266" s="174">
        <f>$J$19*$C266</f>
        <v>1.46</v>
      </c>
      <c r="K266" s="173">
        <f>$K$19*$C266</f>
        <v>4.96</v>
      </c>
      <c r="L266" s="174">
        <f>$L$19*$C266</f>
        <v>0.12</v>
      </c>
      <c r="M266" s="175">
        <f>$M$19*$C266</f>
        <v>2.4</v>
      </c>
      <c r="N266" s="239">
        <f t="shared" si="64"/>
        <v>9.4</v>
      </c>
      <c r="O266" s="176"/>
      <c r="P266" s="532"/>
      <c r="Q266" s="532"/>
      <c r="R266" s="532"/>
      <c r="S266" s="532"/>
      <c r="T266" s="532"/>
      <c r="U266" s="532"/>
      <c r="V266" s="532"/>
      <c r="W266" s="532"/>
      <c r="X266" s="532"/>
      <c r="Y266" s="532"/>
      <c r="Z266" s="532"/>
      <c r="AA266" s="532"/>
      <c r="AB266" s="532"/>
      <c r="AC266" s="532"/>
      <c r="AD266" s="532"/>
      <c r="AE266" s="532"/>
      <c r="AF266" s="532"/>
      <c r="AG266" s="532"/>
      <c r="AH266" s="532"/>
      <c r="AI266" s="532"/>
      <c r="AJ266" s="532"/>
      <c r="AK266" s="532"/>
      <c r="AL266" s="532"/>
      <c r="AM266" s="532"/>
      <c r="AN266" s="532"/>
      <c r="AO266" s="532"/>
      <c r="AP266" s="532"/>
      <c r="AQ266" s="532"/>
      <c r="AR266" s="532"/>
      <c r="AS266" s="532"/>
      <c r="AT266" s="532"/>
      <c r="AU266" s="532"/>
      <c r="AV266" s="532"/>
      <c r="AW266" s="532"/>
      <c r="AX266" s="532"/>
      <c r="AY266" s="532"/>
    </row>
    <row r="267" spans="1:51" s="154" customFormat="1" ht="15" x14ac:dyDescent="0.25">
      <c r="B267" s="164" t="str">
        <f>$B$20</f>
        <v>300HP Tractor &amp; 26' shredder</v>
      </c>
      <c r="C267" s="459">
        <v>0</v>
      </c>
      <c r="D267" s="173">
        <f>$D$20*$C267</f>
        <v>0</v>
      </c>
      <c r="E267" s="173">
        <f>$E$20*$C267</f>
        <v>0</v>
      </c>
      <c r="F267" s="173">
        <f>$F$20*$C267</f>
        <v>0</v>
      </c>
      <c r="G267" s="464">
        <f>SUM(D267:F267)</f>
        <v>0</v>
      </c>
      <c r="H267" s="173">
        <f>$H$20*$C267</f>
        <v>0</v>
      </c>
      <c r="I267" s="173">
        <f>$I$20*$C267</f>
        <v>0</v>
      </c>
      <c r="J267" s="174">
        <f>$J$20*$C267</f>
        <v>0</v>
      </c>
      <c r="K267" s="173">
        <f>$K$20*$C267</f>
        <v>0</v>
      </c>
      <c r="L267" s="174">
        <f>$L$20*$C267</f>
        <v>0</v>
      </c>
      <c r="M267" s="175">
        <f>$M$20*$C267</f>
        <v>0</v>
      </c>
      <c r="N267" s="239">
        <f t="shared" si="64"/>
        <v>0</v>
      </c>
      <c r="O267" s="176"/>
      <c r="P267" s="532"/>
      <c r="Q267" s="532"/>
      <c r="R267" s="532"/>
      <c r="S267" s="532"/>
      <c r="T267" s="532"/>
      <c r="U267" s="532"/>
      <c r="V267" s="532"/>
      <c r="W267" s="532"/>
      <c r="X267" s="532"/>
      <c r="Y267" s="532"/>
      <c r="Z267" s="532"/>
      <c r="AA267" s="532"/>
      <c r="AB267" s="532"/>
      <c r="AC267" s="532"/>
      <c r="AD267" s="532"/>
      <c r="AE267" s="532"/>
      <c r="AF267" s="532"/>
      <c r="AG267" s="532"/>
      <c r="AH267" s="532"/>
      <c r="AI267" s="532"/>
      <c r="AJ267" s="532"/>
      <c r="AK267" s="532"/>
      <c r="AL267" s="532"/>
      <c r="AM267" s="532"/>
      <c r="AN267" s="532"/>
      <c r="AO267" s="532"/>
      <c r="AP267" s="532"/>
      <c r="AQ267" s="532"/>
      <c r="AR267" s="532"/>
      <c r="AS267" s="532"/>
      <c r="AT267" s="532"/>
      <c r="AU267" s="532"/>
      <c r="AV267" s="532"/>
      <c r="AW267" s="532"/>
      <c r="AX267" s="532"/>
      <c r="AY267" s="532"/>
    </row>
    <row r="268" spans="1:51" s="154" customFormat="1" ht="15" x14ac:dyDescent="0.25">
      <c r="B268" s="164" t="str">
        <f>$B$21</f>
        <v>300HP Tractor &amp; 34' tandem disk</v>
      </c>
      <c r="C268" s="459">
        <v>0</v>
      </c>
      <c r="D268" s="173">
        <f>$D$21*$C268</f>
        <v>0</v>
      </c>
      <c r="E268" s="173">
        <f>$E$21*$C268</f>
        <v>0</v>
      </c>
      <c r="F268" s="173">
        <f>$F$21*$C268</f>
        <v>0</v>
      </c>
      <c r="G268" s="464">
        <f t="shared" ref="G268:G276" si="65">SUM(D268:F268)</f>
        <v>0</v>
      </c>
      <c r="H268" s="173">
        <f>$H$21*$C268</f>
        <v>0</v>
      </c>
      <c r="I268" s="173">
        <f>$I$21*$C268</f>
        <v>0</v>
      </c>
      <c r="J268" s="174">
        <f>$J$21*$C268</f>
        <v>0</v>
      </c>
      <c r="K268" s="173">
        <f>$K$21*$C268</f>
        <v>0</v>
      </c>
      <c r="L268" s="174">
        <f>$L$21*$C268</f>
        <v>0</v>
      </c>
      <c r="M268" s="175">
        <f>$M$21*$C268</f>
        <v>0</v>
      </c>
      <c r="N268" s="239">
        <f t="shared" si="64"/>
        <v>0</v>
      </c>
      <c r="O268" s="176"/>
      <c r="P268" s="532"/>
      <c r="Q268" s="532"/>
      <c r="R268" s="532"/>
      <c r="S268" s="532"/>
      <c r="T268" s="532"/>
      <c r="U268" s="532"/>
      <c r="V268" s="532"/>
      <c r="W268" s="532"/>
      <c r="X268" s="532"/>
      <c r="Y268" s="532"/>
      <c r="Z268" s="532"/>
      <c r="AA268" s="532"/>
      <c r="AB268" s="532"/>
      <c r="AC268" s="532"/>
      <c r="AD268" s="532"/>
      <c r="AE268" s="532"/>
      <c r="AF268" s="532"/>
      <c r="AG268" s="532"/>
      <c r="AH268" s="532"/>
      <c r="AI268" s="532"/>
      <c r="AJ268" s="532"/>
      <c r="AK268" s="532"/>
      <c r="AL268" s="532"/>
      <c r="AM268" s="532"/>
      <c r="AN268" s="532"/>
      <c r="AO268" s="532"/>
      <c r="AP268" s="532"/>
      <c r="AQ268" s="532"/>
      <c r="AR268" s="532"/>
      <c r="AS268" s="532"/>
      <c r="AT268" s="532"/>
      <c r="AU268" s="532"/>
      <c r="AV268" s="532"/>
      <c r="AW268" s="532"/>
      <c r="AX268" s="532"/>
      <c r="AY268" s="532"/>
    </row>
    <row r="269" spans="1:51" ht="15" x14ac:dyDescent="0.25">
      <c r="A269" s="532"/>
      <c r="B269" s="164" t="str">
        <f>$B$22</f>
        <v>300HP Tractor &amp; 36' cultiweeder</v>
      </c>
      <c r="C269" s="459">
        <v>1</v>
      </c>
      <c r="D269" s="173">
        <f>$D$22*$C269</f>
        <v>1.42</v>
      </c>
      <c r="E269" s="173">
        <f>$E$22*$C269</f>
        <v>0.92</v>
      </c>
      <c r="F269" s="173">
        <f>$F$22*$C269</f>
        <v>0.15</v>
      </c>
      <c r="G269" s="464">
        <f t="shared" si="65"/>
        <v>2.4899999999999998</v>
      </c>
      <c r="H269" s="173">
        <f>$H$22*$C269</f>
        <v>0.41</v>
      </c>
      <c r="I269" s="173">
        <f>$I$22*$C269</f>
        <v>0.28000000000000003</v>
      </c>
      <c r="J269" s="174">
        <f>$J$22*$C269</f>
        <v>0.55000000000000004</v>
      </c>
      <c r="K269" s="173">
        <f>$K$22*$C269</f>
        <v>1.87</v>
      </c>
      <c r="L269" s="174">
        <f>$L$22*$C269</f>
        <v>0.04</v>
      </c>
      <c r="M269" s="175">
        <f>$M$22*$C269</f>
        <v>0.8</v>
      </c>
      <c r="N269" s="239">
        <f t="shared" si="64"/>
        <v>3.3600000000000003</v>
      </c>
      <c r="O269" s="176"/>
      <c r="P269" s="532"/>
      <c r="Q269" s="532"/>
      <c r="R269" s="532"/>
      <c r="S269" s="532"/>
      <c r="T269" s="532"/>
      <c r="U269" s="532"/>
      <c r="V269" s="532"/>
      <c r="W269" s="532"/>
      <c r="X269" s="532"/>
      <c r="Y269" s="532"/>
      <c r="Z269" s="532"/>
      <c r="AA269" s="532"/>
      <c r="AB269" s="532"/>
      <c r="AC269" s="532"/>
      <c r="AD269" s="532"/>
      <c r="AE269" s="532"/>
      <c r="AF269" s="532"/>
      <c r="AG269" s="532"/>
      <c r="AH269" s="532"/>
      <c r="AI269" s="532"/>
      <c r="AJ269" s="532"/>
      <c r="AK269" s="532"/>
      <c r="AL269" s="532"/>
      <c r="AM269" s="532"/>
      <c r="AN269" s="532"/>
      <c r="AO269" s="532"/>
      <c r="AP269" s="532"/>
      <c r="AQ269" s="532"/>
      <c r="AR269" s="532"/>
      <c r="AS269" s="532"/>
      <c r="AT269" s="532"/>
      <c r="AU269" s="532"/>
      <c r="AV269" s="532"/>
      <c r="AW269" s="532"/>
      <c r="AX269" s="532"/>
      <c r="AY269" s="532"/>
    </row>
    <row r="270" spans="1:51" s="154" customFormat="1" ht="15" x14ac:dyDescent="0.25">
      <c r="B270" s="156" t="str">
        <f>$B$23</f>
        <v>300HP Tractor &amp; 35' chisel plow</v>
      </c>
      <c r="C270" s="459">
        <v>1</v>
      </c>
      <c r="D270" s="173">
        <f>$D$23*$C270</f>
        <v>2.17</v>
      </c>
      <c r="E270" s="173">
        <f>$E$23*$C270</f>
        <v>1.41</v>
      </c>
      <c r="F270" s="173">
        <f>$F$23*$C270</f>
        <v>0.24</v>
      </c>
      <c r="G270" s="464">
        <f t="shared" si="65"/>
        <v>3.8200000000000003</v>
      </c>
      <c r="H270" s="173">
        <f>$H$23*$C270</f>
        <v>0.79</v>
      </c>
      <c r="I270" s="173">
        <f>$I$23*$C270</f>
        <v>0.48</v>
      </c>
      <c r="J270" s="174">
        <f>$J$23*$C270</f>
        <v>0.95</v>
      </c>
      <c r="K270" s="173">
        <f>$K$23*$C270</f>
        <v>3.23</v>
      </c>
      <c r="L270" s="174">
        <f>$L$23*$C270</f>
        <v>0.08</v>
      </c>
      <c r="M270" s="175">
        <f>$M$23*$C270</f>
        <v>1.6</v>
      </c>
      <c r="N270" s="239">
        <f t="shared" ref="N270:N276" si="66">SUM(H270,I270,K270,M270)</f>
        <v>6.1</v>
      </c>
      <c r="O270" s="176"/>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c r="AM270" s="532"/>
      <c r="AN270" s="532"/>
      <c r="AO270" s="532"/>
      <c r="AP270" s="532"/>
      <c r="AQ270" s="532"/>
      <c r="AR270" s="532"/>
      <c r="AS270" s="532"/>
      <c r="AT270" s="532"/>
      <c r="AU270" s="532"/>
      <c r="AV270" s="532"/>
      <c r="AW270" s="532"/>
      <c r="AX270" s="532"/>
      <c r="AY270" s="532"/>
    </row>
    <row r="271" spans="1:51" s="154" customFormat="1" ht="15" x14ac:dyDescent="0.25">
      <c r="B271" s="156" t="str">
        <f>$B$24</f>
        <v>300HP Tractor &amp; 36' cultivator</v>
      </c>
      <c r="C271" s="459">
        <v>0</v>
      </c>
      <c r="D271" s="173">
        <f>$D$24*$C271</f>
        <v>0</v>
      </c>
      <c r="E271" s="173">
        <f>$E$24*$C271</f>
        <v>0</v>
      </c>
      <c r="F271" s="173">
        <f>$F$24*$C271</f>
        <v>0</v>
      </c>
      <c r="G271" s="464">
        <f t="shared" si="65"/>
        <v>0</v>
      </c>
      <c r="H271" s="173">
        <f>$H$24*$C271</f>
        <v>0</v>
      </c>
      <c r="I271" s="173">
        <f>$I$24*$C271</f>
        <v>0</v>
      </c>
      <c r="J271" s="174">
        <f>$J$24*$C271</f>
        <v>0</v>
      </c>
      <c r="K271" s="173">
        <f>$K$24*$C271</f>
        <v>0</v>
      </c>
      <c r="L271" s="174">
        <f>$L$24*$C271</f>
        <v>0</v>
      </c>
      <c r="M271" s="175">
        <f>$M$24*$C271</f>
        <v>0</v>
      </c>
      <c r="N271" s="239">
        <f t="shared" si="66"/>
        <v>0</v>
      </c>
      <c r="O271" s="176"/>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c r="AM271" s="532"/>
      <c r="AN271" s="532"/>
      <c r="AO271" s="532"/>
      <c r="AP271" s="532"/>
      <c r="AQ271" s="532"/>
      <c r="AR271" s="532"/>
      <c r="AS271" s="532"/>
      <c r="AT271" s="532"/>
      <c r="AU271" s="532"/>
      <c r="AV271" s="532"/>
      <c r="AW271" s="532"/>
      <c r="AX271" s="532"/>
      <c r="AY271" s="532"/>
    </row>
    <row r="272" spans="1:51" s="154" customFormat="1" ht="15" x14ac:dyDescent="0.25">
      <c r="B272" s="156" t="str">
        <f>$B$25</f>
        <v>300HP Tractor &amp; 48' spring tooth harrow</v>
      </c>
      <c r="C272" s="459">
        <v>0</v>
      </c>
      <c r="D272" s="173">
        <f>$D$25*$C272</f>
        <v>0</v>
      </c>
      <c r="E272" s="173">
        <f>$E$25*$C272</f>
        <v>0</v>
      </c>
      <c r="F272" s="173">
        <f>$F$25*$C272</f>
        <v>0</v>
      </c>
      <c r="G272" s="464">
        <f t="shared" si="65"/>
        <v>0</v>
      </c>
      <c r="H272" s="173">
        <f>$H$25*$C272</f>
        <v>0</v>
      </c>
      <c r="I272" s="173">
        <f>$I$25*$C272</f>
        <v>0</v>
      </c>
      <c r="J272" s="174">
        <f>$J$25*$C272</f>
        <v>0</v>
      </c>
      <c r="K272" s="173">
        <f>$K$25*$C272</f>
        <v>0</v>
      </c>
      <c r="L272" s="174">
        <f>$L$25*$C272</f>
        <v>0</v>
      </c>
      <c r="M272" s="175">
        <f>$M$25*$C272</f>
        <v>0</v>
      </c>
      <c r="N272" s="239">
        <f t="shared" si="66"/>
        <v>0</v>
      </c>
      <c r="O272" s="176"/>
      <c r="P272" s="532"/>
      <c r="Q272" s="532"/>
      <c r="R272" s="532"/>
      <c r="S272" s="532"/>
      <c r="T272" s="532"/>
      <c r="U272" s="532"/>
      <c r="V272" s="532"/>
      <c r="W272" s="532"/>
      <c r="X272" s="532"/>
      <c r="Y272" s="532"/>
      <c r="Z272" s="532"/>
      <c r="AA272" s="532"/>
      <c r="AB272" s="532"/>
      <c r="AC272" s="532"/>
      <c r="AD272" s="532"/>
      <c r="AE272" s="532"/>
      <c r="AF272" s="532"/>
      <c r="AG272" s="532"/>
      <c r="AH272" s="532"/>
      <c r="AI272" s="532"/>
      <c r="AJ272" s="532"/>
      <c r="AK272" s="532"/>
      <c r="AL272" s="532"/>
      <c r="AM272" s="532"/>
      <c r="AN272" s="532"/>
      <c r="AO272" s="532"/>
      <c r="AP272" s="532"/>
      <c r="AQ272" s="532"/>
      <c r="AR272" s="532"/>
      <c r="AS272" s="532"/>
      <c r="AT272" s="532"/>
      <c r="AU272" s="532"/>
      <c r="AV272" s="532"/>
      <c r="AW272" s="532"/>
      <c r="AX272" s="532"/>
      <c r="AY272" s="532"/>
    </row>
    <row r="273" spans="1:51" s="154" customFormat="1" ht="15" x14ac:dyDescent="0.25">
      <c r="B273" s="156" t="str">
        <f>$B$26</f>
        <v>300HP Tractor &amp; 36' grain drill</v>
      </c>
      <c r="C273" s="459">
        <v>0</v>
      </c>
      <c r="D273" s="173">
        <f>$D$26*$C273</f>
        <v>0</v>
      </c>
      <c r="E273" s="173">
        <f>$E$26*$C273</f>
        <v>0</v>
      </c>
      <c r="F273" s="173">
        <f>$F$26*$C273</f>
        <v>0</v>
      </c>
      <c r="G273" s="464">
        <f t="shared" si="65"/>
        <v>0</v>
      </c>
      <c r="H273" s="173">
        <f>$H$26*$C273</f>
        <v>0</v>
      </c>
      <c r="I273" s="173">
        <f>$I$26*$C273</f>
        <v>0</v>
      </c>
      <c r="J273" s="174">
        <f>$J$26*$C273</f>
        <v>0</v>
      </c>
      <c r="K273" s="173">
        <f>$K$26*$C273</f>
        <v>0</v>
      </c>
      <c r="L273" s="174">
        <f>$L$26*$C273</f>
        <v>0</v>
      </c>
      <c r="M273" s="175">
        <f>$M$26*$C273</f>
        <v>0</v>
      </c>
      <c r="N273" s="239">
        <f t="shared" si="66"/>
        <v>0</v>
      </c>
      <c r="O273" s="176"/>
      <c r="P273" s="532"/>
      <c r="Q273" s="532"/>
      <c r="R273" s="532"/>
      <c r="S273" s="532"/>
      <c r="T273" s="532"/>
      <c r="U273" s="532"/>
      <c r="V273" s="532"/>
      <c r="W273" s="532"/>
      <c r="X273" s="532"/>
      <c r="Y273" s="532"/>
      <c r="Z273" s="532"/>
      <c r="AA273" s="532"/>
      <c r="AB273" s="532"/>
      <c r="AC273" s="532"/>
      <c r="AD273" s="532"/>
      <c r="AE273" s="532"/>
      <c r="AF273" s="532"/>
      <c r="AG273" s="532"/>
      <c r="AH273" s="532"/>
      <c r="AI273" s="532"/>
      <c r="AJ273" s="532"/>
      <c r="AK273" s="532"/>
      <c r="AL273" s="532"/>
      <c r="AM273" s="532"/>
      <c r="AN273" s="532"/>
      <c r="AO273" s="532"/>
      <c r="AP273" s="532"/>
      <c r="AQ273" s="532"/>
      <c r="AR273" s="532"/>
      <c r="AS273" s="532"/>
      <c r="AT273" s="532"/>
      <c r="AU273" s="532"/>
      <c r="AV273" s="532"/>
      <c r="AW273" s="532"/>
      <c r="AX273" s="532"/>
      <c r="AY273" s="532"/>
    </row>
    <row r="274" spans="1:51" s="154" customFormat="1" ht="15" x14ac:dyDescent="0.25">
      <c r="B274" s="168" t="str">
        <f>$B$27</f>
        <v>Combine &amp; 30' header  *4 mph harvest speed*</v>
      </c>
      <c r="C274" s="459">
        <v>0</v>
      </c>
      <c r="D274" s="173">
        <f>$D$27*$C274</f>
        <v>0</v>
      </c>
      <c r="E274" s="173">
        <f>$E$27*$C274</f>
        <v>0</v>
      </c>
      <c r="F274" s="173">
        <f>$F$27*$C274</f>
        <v>0</v>
      </c>
      <c r="G274" s="464">
        <f t="shared" si="65"/>
        <v>0</v>
      </c>
      <c r="H274" s="173">
        <f>$H$27*$C274</f>
        <v>0</v>
      </c>
      <c r="I274" s="173">
        <f>$I$27*$C274</f>
        <v>0</v>
      </c>
      <c r="J274" s="174">
        <f>$J$27*$C274</f>
        <v>0</v>
      </c>
      <c r="K274" s="173">
        <f>$K$27*$C274</f>
        <v>0</v>
      </c>
      <c r="L274" s="174">
        <f>$L$27*$C274</f>
        <v>0</v>
      </c>
      <c r="M274" s="175">
        <f>$M$27*$C274</f>
        <v>0</v>
      </c>
      <c r="N274" s="239">
        <f t="shared" si="66"/>
        <v>0</v>
      </c>
      <c r="O274" s="176"/>
      <c r="P274" s="533"/>
      <c r="Q274" s="532"/>
      <c r="R274" s="532"/>
      <c r="S274" s="532"/>
      <c r="T274" s="532"/>
      <c r="U274" s="532"/>
      <c r="V274" s="532"/>
      <c r="W274" s="532"/>
      <c r="X274" s="532"/>
      <c r="Y274" s="532"/>
      <c r="Z274" s="532"/>
      <c r="AA274" s="532"/>
      <c r="AB274" s="532"/>
      <c r="AC274" s="532"/>
      <c r="AD274" s="532"/>
      <c r="AE274" s="532"/>
      <c r="AF274" s="532"/>
      <c r="AG274" s="532"/>
      <c r="AH274" s="532"/>
      <c r="AI274" s="532"/>
      <c r="AJ274" s="532"/>
      <c r="AK274" s="532"/>
      <c r="AL274" s="532"/>
      <c r="AM274" s="532"/>
      <c r="AN274" s="532"/>
      <c r="AO274" s="532"/>
      <c r="AP274" s="532"/>
      <c r="AQ274" s="532"/>
      <c r="AR274" s="532"/>
      <c r="AS274" s="532"/>
      <c r="AT274" s="532"/>
      <c r="AU274" s="532"/>
      <c r="AV274" s="532"/>
      <c r="AW274" s="532"/>
      <c r="AX274" s="532"/>
      <c r="AY274" s="532"/>
    </row>
    <row r="275" spans="1:51" ht="15" x14ac:dyDescent="0.25">
      <c r="A275" s="532"/>
      <c r="B275" s="168" t="str">
        <f>$B$28</f>
        <v>Combine &amp; 30' header *3 mph harvest speed*</v>
      </c>
      <c r="C275" s="459">
        <v>0</v>
      </c>
      <c r="D275" s="173">
        <f>$D$28*$C275</f>
        <v>0</v>
      </c>
      <c r="E275" s="173">
        <f>$E$28*$C275</f>
        <v>0</v>
      </c>
      <c r="F275" s="173">
        <f>$F$28*$C275</f>
        <v>0</v>
      </c>
      <c r="G275" s="464">
        <f t="shared" si="65"/>
        <v>0</v>
      </c>
      <c r="H275" s="173">
        <f>$H$28*$C275</f>
        <v>0</v>
      </c>
      <c r="I275" s="173">
        <f>$I$28*$C275</f>
        <v>0</v>
      </c>
      <c r="J275" s="174">
        <f>$J$28*$C275</f>
        <v>0</v>
      </c>
      <c r="K275" s="173">
        <f>$K$28*$C275</f>
        <v>0</v>
      </c>
      <c r="L275" s="174">
        <f>$L$28*$C275</f>
        <v>0</v>
      </c>
      <c r="M275" s="175">
        <f>$M$28*$C275</f>
        <v>0</v>
      </c>
      <c r="N275" s="239">
        <f t="shared" si="66"/>
        <v>0</v>
      </c>
      <c r="O275" s="176"/>
      <c r="P275" s="532"/>
      <c r="Q275" s="532"/>
      <c r="R275" s="532"/>
      <c r="S275" s="532"/>
      <c r="T275" s="532"/>
      <c r="U275" s="532"/>
      <c r="V275" s="532"/>
      <c r="W275" s="532"/>
      <c r="X275" s="532"/>
      <c r="Y275" s="532"/>
      <c r="Z275" s="532"/>
      <c r="AA275" s="532"/>
      <c r="AB275" s="532"/>
      <c r="AC275" s="532"/>
      <c r="AD275" s="532"/>
      <c r="AE275" s="532"/>
      <c r="AF275" s="532"/>
      <c r="AG275" s="532"/>
      <c r="AH275" s="532"/>
      <c r="AI275" s="532"/>
      <c r="AJ275" s="532"/>
      <c r="AK275" s="532"/>
      <c r="AL275" s="532"/>
      <c r="AM275" s="532"/>
      <c r="AN275" s="532"/>
      <c r="AO275" s="532"/>
      <c r="AP275" s="532"/>
      <c r="AQ275" s="532"/>
      <c r="AR275" s="532"/>
      <c r="AS275" s="532"/>
      <c r="AT275" s="532"/>
      <c r="AU275" s="532"/>
      <c r="AV275" s="532"/>
      <c r="AW275" s="532"/>
      <c r="AX275" s="532"/>
      <c r="AY275" s="532"/>
    </row>
    <row r="276" spans="1:51" s="154" customFormat="1" ht="15" x14ac:dyDescent="0.25">
      <c r="B276" s="168" t="str">
        <f>$B$29</f>
        <v>300HP Tractor &amp; Bankout wagon</v>
      </c>
      <c r="C276" s="459">
        <v>0</v>
      </c>
      <c r="D276" s="173">
        <f>$D$29*$C276</f>
        <v>0</v>
      </c>
      <c r="E276" s="173">
        <f>$E$29*$C276</f>
        <v>0</v>
      </c>
      <c r="F276" s="173">
        <f>$F$29*$C276</f>
        <v>0</v>
      </c>
      <c r="G276" s="464">
        <f t="shared" si="65"/>
        <v>0</v>
      </c>
      <c r="H276" s="173">
        <f>$H$29*$C276</f>
        <v>0</v>
      </c>
      <c r="I276" s="173">
        <f>$I$29*$C276</f>
        <v>0</v>
      </c>
      <c r="J276" s="174">
        <f>$J$29*$C276</f>
        <v>0</v>
      </c>
      <c r="K276" s="173">
        <f>$K$29*$C276</f>
        <v>0</v>
      </c>
      <c r="L276" s="174">
        <f>$L$29*$C276</f>
        <v>0</v>
      </c>
      <c r="M276" s="175">
        <f>$M$29*$C276</f>
        <v>0</v>
      </c>
      <c r="N276" s="239">
        <f t="shared" si="66"/>
        <v>0</v>
      </c>
      <c r="O276" s="176"/>
      <c r="P276" s="532"/>
      <c r="Q276" s="532"/>
      <c r="R276" s="532"/>
      <c r="S276" s="532"/>
      <c r="T276" s="532"/>
      <c r="U276" s="532"/>
      <c r="V276" s="532"/>
      <c r="W276" s="532"/>
      <c r="X276" s="532"/>
      <c r="Y276" s="532"/>
      <c r="Z276" s="532"/>
      <c r="AA276" s="532"/>
      <c r="AB276" s="532"/>
      <c r="AC276" s="532"/>
      <c r="AD276" s="532"/>
      <c r="AE276" s="532"/>
      <c r="AF276" s="532"/>
      <c r="AG276" s="532"/>
      <c r="AH276" s="532"/>
      <c r="AI276" s="532"/>
      <c r="AJ276" s="532"/>
      <c r="AK276" s="532"/>
      <c r="AL276" s="532"/>
      <c r="AM276" s="532"/>
      <c r="AN276" s="532"/>
      <c r="AO276" s="532"/>
      <c r="AP276" s="532"/>
      <c r="AQ276" s="532"/>
      <c r="AR276" s="532"/>
      <c r="AS276" s="532"/>
      <c r="AT276" s="532"/>
      <c r="AU276" s="532"/>
      <c r="AV276" s="532"/>
      <c r="AW276" s="532"/>
      <c r="AX276" s="532"/>
      <c r="AY276" s="532"/>
    </row>
    <row r="277" spans="1:51" s="154" customFormat="1" ht="15" x14ac:dyDescent="0.25">
      <c r="B277" s="255" t="str">
        <f>$B$30</f>
        <v>Annual Costs:</v>
      </c>
      <c r="C277" s="454"/>
      <c r="D277" s="268"/>
      <c r="E277" s="268"/>
      <c r="F277" s="268"/>
      <c r="G277" s="465"/>
      <c r="H277" s="269"/>
      <c r="I277" s="269"/>
      <c r="J277" s="270"/>
      <c r="K277" s="269"/>
      <c r="L277" s="270"/>
      <c r="M277" s="271"/>
      <c r="N277" s="272"/>
      <c r="O277" s="273"/>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c r="AM277" s="532"/>
      <c r="AN277" s="532"/>
      <c r="AO277" s="532"/>
      <c r="AP277" s="532"/>
      <c r="AQ277" s="532"/>
      <c r="AR277" s="532"/>
      <c r="AS277" s="532"/>
      <c r="AT277" s="532"/>
      <c r="AU277" s="532"/>
      <c r="AV277" s="532"/>
      <c r="AW277" s="532"/>
      <c r="AX277" s="532"/>
      <c r="AY277" s="532"/>
    </row>
    <row r="278" spans="1:51" s="154" customFormat="1" ht="15" x14ac:dyDescent="0.25">
      <c r="B278" s="261" t="str">
        <f>$B$31</f>
        <v>Tandem axle truck</v>
      </c>
      <c r="C278" s="458"/>
      <c r="D278" s="274">
        <f>$D$31</f>
        <v>0.39</v>
      </c>
      <c r="E278" s="274">
        <f>$E$31</f>
        <v>0.44</v>
      </c>
      <c r="F278" s="274">
        <f>$F$31</f>
        <v>0.72</v>
      </c>
      <c r="G278" s="466">
        <f>$G$31</f>
        <v>1.55</v>
      </c>
      <c r="H278" s="274">
        <f>$H$31</f>
        <v>0.56999999999999995</v>
      </c>
      <c r="I278" s="274">
        <f>$I$31</f>
        <v>0.04</v>
      </c>
      <c r="J278" s="275">
        <f>$J$31</f>
        <v>7.0000000000000007E-2</v>
      </c>
      <c r="K278" s="274">
        <f>$K$31</f>
        <v>0.24</v>
      </c>
      <c r="L278" s="275">
        <f>$L$31</f>
        <v>0.03</v>
      </c>
      <c r="M278" s="266">
        <f>$M$31</f>
        <v>0.51</v>
      </c>
      <c r="N278" s="276">
        <f t="shared" ref="N278:N283" si="67">SUM(H278,I278,K278,M278)</f>
        <v>1.3599999999999999</v>
      </c>
      <c r="O278" s="277"/>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c r="AM278" s="532"/>
      <c r="AN278" s="532"/>
      <c r="AO278" s="532"/>
      <c r="AP278" s="532"/>
      <c r="AQ278" s="532"/>
      <c r="AR278" s="532"/>
      <c r="AS278" s="532"/>
      <c r="AT278" s="532"/>
      <c r="AU278" s="532"/>
      <c r="AV278" s="532"/>
      <c r="AW278" s="532"/>
      <c r="AX278" s="532"/>
      <c r="AY278" s="532"/>
    </row>
    <row r="279" spans="1:51" s="154" customFormat="1" ht="15" x14ac:dyDescent="0.25">
      <c r="B279" s="261" t="str">
        <f>$B$32</f>
        <v>Tandem axle truck</v>
      </c>
      <c r="C279" s="458"/>
      <c r="D279" s="274">
        <f>$D$32</f>
        <v>0.39</v>
      </c>
      <c r="E279" s="274">
        <f>$E$32</f>
        <v>0.44</v>
      </c>
      <c r="F279" s="274">
        <f>$F$32</f>
        <v>0.72</v>
      </c>
      <c r="G279" s="466">
        <f>$G$32</f>
        <v>1.55</v>
      </c>
      <c r="H279" s="274">
        <f>$H$32</f>
        <v>0.56999999999999995</v>
      </c>
      <c r="I279" s="274">
        <f>$I$32</f>
        <v>0.04</v>
      </c>
      <c r="J279" s="275">
        <f>$J$32</f>
        <v>7.0000000000000007E-2</v>
      </c>
      <c r="K279" s="274">
        <f>$K$32</f>
        <v>0.24</v>
      </c>
      <c r="L279" s="275">
        <f>$L$32</f>
        <v>0.03</v>
      </c>
      <c r="M279" s="266">
        <f>$M$32</f>
        <v>0.51</v>
      </c>
      <c r="N279" s="276">
        <f t="shared" si="67"/>
        <v>1.3599999999999999</v>
      </c>
      <c r="O279" s="277"/>
      <c r="P279" s="532"/>
      <c r="Q279" s="532"/>
      <c r="R279" s="532"/>
      <c r="S279" s="532"/>
      <c r="T279" s="532"/>
      <c r="U279" s="532"/>
      <c r="V279" s="532"/>
      <c r="W279" s="532"/>
      <c r="X279" s="532"/>
      <c r="Y279" s="532"/>
      <c r="Z279" s="532"/>
      <c r="AA279" s="532"/>
      <c r="AB279" s="532"/>
      <c r="AC279" s="532"/>
      <c r="AD279" s="532"/>
      <c r="AE279" s="532"/>
      <c r="AF279" s="532"/>
      <c r="AG279" s="532"/>
      <c r="AH279" s="532"/>
      <c r="AI279" s="532"/>
      <c r="AJ279" s="532"/>
      <c r="AK279" s="532"/>
      <c r="AL279" s="532"/>
      <c r="AM279" s="532"/>
      <c r="AN279" s="532"/>
      <c r="AO279" s="532"/>
      <c r="AP279" s="532"/>
      <c r="AQ279" s="532"/>
      <c r="AR279" s="532"/>
      <c r="AS279" s="532"/>
      <c r="AT279" s="532"/>
      <c r="AU279" s="532"/>
      <c r="AV279" s="532"/>
      <c r="AW279" s="532"/>
      <c r="AX279" s="532"/>
      <c r="AY279" s="532"/>
    </row>
    <row r="280" spans="1:51" s="154" customFormat="1" ht="15" x14ac:dyDescent="0.25">
      <c r="B280" s="261" t="str">
        <f>$B$33</f>
        <v>2-ton truck</v>
      </c>
      <c r="C280" s="458"/>
      <c r="D280" s="274">
        <f>$D$33</f>
        <v>0.32</v>
      </c>
      <c r="E280" s="274">
        <f>$E$33</f>
        <v>0.26</v>
      </c>
      <c r="F280" s="274">
        <f>$F$33</f>
        <v>0.42</v>
      </c>
      <c r="G280" s="466">
        <f>$G$33</f>
        <v>1</v>
      </c>
      <c r="H280" s="274">
        <f>$H$33</f>
        <v>0.28999999999999998</v>
      </c>
      <c r="I280" s="274">
        <f>$I$33</f>
        <v>0.03</v>
      </c>
      <c r="J280" s="275">
        <f>$J$33</f>
        <v>0.05</v>
      </c>
      <c r="K280" s="274">
        <f>$K$33</f>
        <v>0.17</v>
      </c>
      <c r="L280" s="275">
        <f>$L$33</f>
        <v>0.02</v>
      </c>
      <c r="M280" s="266">
        <f>$M$33</f>
        <v>0.34</v>
      </c>
      <c r="N280" s="276">
        <f t="shared" si="67"/>
        <v>0.83000000000000007</v>
      </c>
      <c r="O280" s="277"/>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32"/>
      <c r="AL280" s="532"/>
      <c r="AM280" s="532"/>
      <c r="AN280" s="532"/>
      <c r="AO280" s="532"/>
      <c r="AP280" s="532"/>
      <c r="AQ280" s="532"/>
      <c r="AR280" s="532"/>
      <c r="AS280" s="532"/>
      <c r="AT280" s="532"/>
      <c r="AU280" s="532"/>
      <c r="AV280" s="532"/>
      <c r="AW280" s="532"/>
      <c r="AX280" s="532"/>
      <c r="AY280" s="532"/>
    </row>
    <row r="281" spans="1:51" s="154" customFormat="1" ht="15" x14ac:dyDescent="0.25">
      <c r="B281" s="261" t="str">
        <f>$B$34</f>
        <v>Trap wagon</v>
      </c>
      <c r="C281" s="458"/>
      <c r="D281" s="274">
        <f>$D$34</f>
        <v>0.35</v>
      </c>
      <c r="E281" s="274">
        <f>$E$34</f>
        <v>0.16</v>
      </c>
      <c r="F281" s="274">
        <f>$F$34</f>
        <v>0.26</v>
      </c>
      <c r="G281" s="466">
        <f>$G$34</f>
        <v>0.77</v>
      </c>
      <c r="H281" s="274">
        <f>$H$34</f>
        <v>0.12</v>
      </c>
      <c r="I281" s="274">
        <f>$I$34</f>
        <v>0.03</v>
      </c>
      <c r="J281" s="275">
        <f>$J$34</f>
        <v>0.05</v>
      </c>
      <c r="K281" s="274">
        <f>$K$34</f>
        <v>0.17</v>
      </c>
      <c r="L281" s="275">
        <f>$L$34</f>
        <v>0.02</v>
      </c>
      <c r="M281" s="266">
        <f>$M$34</f>
        <v>0.34</v>
      </c>
      <c r="N281" s="276">
        <f t="shared" si="67"/>
        <v>0.66</v>
      </c>
      <c r="O281" s="277"/>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row>
    <row r="282" spans="1:51" s="154" customFormat="1" ht="15" x14ac:dyDescent="0.25">
      <c r="B282" s="261" t="str">
        <f>$B$35</f>
        <v>3/4-ton pick-up</v>
      </c>
      <c r="C282" s="458"/>
      <c r="D282" s="274">
        <f>$D$35</f>
        <v>0.6</v>
      </c>
      <c r="E282" s="274">
        <f>$E$35</f>
        <v>0.42</v>
      </c>
      <c r="F282" s="274">
        <f>$F$35</f>
        <v>0.45</v>
      </c>
      <c r="G282" s="466">
        <f>$G$35</f>
        <v>1.47</v>
      </c>
      <c r="H282" s="274">
        <f>$H$35</f>
        <v>0.17</v>
      </c>
      <c r="I282" s="274">
        <f>$I$35</f>
        <v>0.02</v>
      </c>
      <c r="J282" s="275">
        <f>$J$35</f>
        <v>0.03</v>
      </c>
      <c r="K282" s="274">
        <f>$K$35</f>
        <v>0.11</v>
      </c>
      <c r="L282" s="275">
        <f>$L$35</f>
        <v>0.01</v>
      </c>
      <c r="M282" s="266">
        <f>$M$35</f>
        <v>0.17</v>
      </c>
      <c r="N282" s="276">
        <f t="shared" si="67"/>
        <v>0.47</v>
      </c>
      <c r="O282" s="277"/>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c r="AM282" s="532"/>
      <c r="AN282" s="532"/>
      <c r="AO282" s="532"/>
      <c r="AP282" s="532"/>
      <c r="AQ282" s="532"/>
      <c r="AR282" s="532"/>
      <c r="AS282" s="532"/>
      <c r="AT282" s="532"/>
      <c r="AU282" s="532"/>
      <c r="AV282" s="532"/>
      <c r="AW282" s="532"/>
      <c r="AX282" s="532"/>
      <c r="AY282" s="532"/>
    </row>
    <row r="283" spans="1:51" s="154" customFormat="1" ht="15" x14ac:dyDescent="0.25">
      <c r="B283" s="261" t="str">
        <f>$B$36</f>
        <v>ATV</v>
      </c>
      <c r="C283" s="458"/>
      <c r="D283" s="274">
        <f>$D$36</f>
        <v>0.25</v>
      </c>
      <c r="E283" s="274">
        <f>$E$36</f>
        <v>0.14000000000000001</v>
      </c>
      <c r="F283" s="274">
        <f>$F$36</f>
        <v>0.03</v>
      </c>
      <c r="G283" s="466">
        <f>$G$36</f>
        <v>0.42000000000000004</v>
      </c>
      <c r="H283" s="274">
        <f>$H$36</f>
        <v>0.05</v>
      </c>
      <c r="I283" s="274">
        <f>$I$36</f>
        <v>0.06</v>
      </c>
      <c r="J283" s="275">
        <f>$J$36</f>
        <v>0.12</v>
      </c>
      <c r="K283" s="274">
        <f>$K$36</f>
        <v>0.42</v>
      </c>
      <c r="L283" s="275">
        <f>$L$36</f>
        <v>0.11</v>
      </c>
      <c r="M283" s="266">
        <f>$M$36</f>
        <v>1.87</v>
      </c>
      <c r="N283" s="276">
        <f t="shared" si="67"/>
        <v>2.4000000000000004</v>
      </c>
      <c r="O283" s="277"/>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c r="AM283" s="532"/>
      <c r="AN283" s="532"/>
      <c r="AO283" s="532"/>
      <c r="AP283" s="532"/>
      <c r="AQ283" s="532"/>
      <c r="AR283" s="532"/>
      <c r="AS283" s="532"/>
      <c r="AT283" s="532"/>
      <c r="AU283" s="532"/>
      <c r="AV283" s="532"/>
      <c r="AW283" s="532"/>
      <c r="AX283" s="532"/>
      <c r="AY283" s="532"/>
    </row>
    <row r="284" spans="1:51" s="154" customFormat="1" ht="13.5" thickBot="1" x14ac:dyDescent="0.25">
      <c r="B284" s="692" t="str">
        <f>$B$37</f>
        <v>Cost $/Acre</v>
      </c>
      <c r="C284" s="693"/>
      <c r="D284" s="237">
        <f t="shared" ref="D284:N284" si="68">SUM(D264:D283)</f>
        <v>11.07</v>
      </c>
      <c r="E284" s="237">
        <f t="shared" si="68"/>
        <v>8.2900000000000009</v>
      </c>
      <c r="F284" s="237">
        <f t="shared" si="68"/>
        <v>4.3</v>
      </c>
      <c r="G284" s="237">
        <f t="shared" si="68"/>
        <v>23.66</v>
      </c>
      <c r="H284" s="237">
        <f t="shared" si="68"/>
        <v>4.71</v>
      </c>
      <c r="I284" s="237">
        <f t="shared" si="68"/>
        <v>1.7400000000000002</v>
      </c>
      <c r="J284" s="159">
        <f t="shared" si="68"/>
        <v>3.3899999999999992</v>
      </c>
      <c r="K284" s="237">
        <f t="shared" si="68"/>
        <v>11.549999999999999</v>
      </c>
      <c r="L284" s="159">
        <f t="shared" si="68"/>
        <v>0.48000000000000009</v>
      </c>
      <c r="M284" s="237">
        <f t="shared" si="68"/>
        <v>8.9399999999999977</v>
      </c>
      <c r="N284" s="237">
        <f t="shared" si="68"/>
        <v>26.939999999999998</v>
      </c>
      <c r="O284" s="157">
        <f>SUM(G284,N284)</f>
        <v>50.599999999999994</v>
      </c>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c r="AM284" s="532"/>
      <c r="AN284" s="532"/>
      <c r="AO284" s="532"/>
      <c r="AP284" s="532"/>
      <c r="AQ284" s="532"/>
      <c r="AR284" s="532"/>
      <c r="AS284" s="532"/>
      <c r="AT284" s="532"/>
      <c r="AU284" s="532"/>
      <c r="AV284" s="532"/>
      <c r="AW284" s="532"/>
      <c r="AX284" s="532"/>
      <c r="AY284" s="532"/>
    </row>
    <row r="285" spans="1:51" s="154" customFormat="1" ht="12.75" x14ac:dyDescent="0.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row>
    <row r="286" spans="1:51" s="121" customFormat="1" ht="12.75" x14ac:dyDescent="0.2">
      <c r="A286" s="154"/>
      <c r="B286" s="154"/>
      <c r="C286" s="154"/>
      <c r="D286" s="154"/>
      <c r="E286" s="154"/>
      <c r="F286" s="154"/>
      <c r="G286" s="154"/>
      <c r="H286" s="154"/>
      <c r="I286" s="154"/>
      <c r="J286" s="154"/>
      <c r="K286" s="154"/>
      <c r="L286" s="154"/>
      <c r="M286" s="154"/>
      <c r="N286" s="154"/>
      <c r="O286" s="154"/>
      <c r="T286" s="532"/>
      <c r="U286" s="532"/>
      <c r="V286" s="532"/>
      <c r="W286" s="532"/>
      <c r="X286" s="532"/>
      <c r="Y286" s="532"/>
      <c r="Z286" s="532"/>
      <c r="AA286" s="532"/>
      <c r="AB286" s="532"/>
    </row>
    <row r="287" spans="1:51" s="154" customFormat="1" ht="15.75" x14ac:dyDescent="0.25">
      <c r="A287" s="121"/>
      <c r="B287" s="492" t="s">
        <v>319</v>
      </c>
      <c r="C287" s="493"/>
      <c r="D287" s="493"/>
      <c r="E287" s="493"/>
      <c r="F287" s="493"/>
      <c r="G287" s="493"/>
      <c r="H287" s="493"/>
      <c r="I287" s="493"/>
      <c r="J287" s="493"/>
      <c r="K287" s="623" t="s">
        <v>526</v>
      </c>
      <c r="L287" s="493"/>
      <c r="M287" s="493"/>
      <c r="N287" s="493"/>
      <c r="O287" s="494" t="s">
        <v>530</v>
      </c>
      <c r="P287" s="198"/>
      <c r="Q287" s="532"/>
      <c r="R287" s="532"/>
      <c r="S287" s="532"/>
      <c r="T287" s="121"/>
      <c r="U287" s="532"/>
      <c r="V287" s="532"/>
      <c r="W287" s="532"/>
      <c r="X287" s="532"/>
      <c r="Y287" s="532"/>
      <c r="Z287" s="532"/>
      <c r="AA287" s="532"/>
      <c r="AB287" s="532"/>
      <c r="AC287" s="532"/>
      <c r="AD287" s="532"/>
      <c r="AE287" s="532"/>
      <c r="AF287" s="532"/>
      <c r="AG287" s="532"/>
      <c r="AH287" s="532"/>
      <c r="AI287" s="532"/>
      <c r="AJ287" s="532"/>
      <c r="AK287" s="532"/>
      <c r="AL287" s="532"/>
      <c r="AM287" s="532"/>
      <c r="AN287" s="532"/>
      <c r="AO287" s="532"/>
      <c r="AP287" s="532"/>
      <c r="AQ287" s="532"/>
      <c r="AR287" s="532"/>
      <c r="AS287" s="532"/>
      <c r="AT287" s="532"/>
      <c r="AU287" s="532"/>
      <c r="AV287" s="532"/>
      <c r="AW287" s="532"/>
      <c r="AX287" s="532"/>
      <c r="AY287" s="532"/>
    </row>
    <row r="288" spans="1:51" s="154" customFormat="1" ht="15" x14ac:dyDescent="0.25">
      <c r="B288" s="155"/>
      <c r="C288" s="455"/>
      <c r="D288" s="704" t="s">
        <v>173</v>
      </c>
      <c r="E288" s="705"/>
      <c r="F288" s="705"/>
      <c r="G288" s="706"/>
      <c r="H288" s="702" t="str">
        <f>$H$13</f>
        <v>Variable Costs</v>
      </c>
      <c r="I288" s="702">
        <f t="shared" ref="I288:N288" si="69">I238</f>
        <v>0</v>
      </c>
      <c r="J288" s="702">
        <f t="shared" si="69"/>
        <v>0</v>
      </c>
      <c r="K288" s="702">
        <f t="shared" si="69"/>
        <v>0</v>
      </c>
      <c r="L288" s="702">
        <f t="shared" si="69"/>
        <v>0</v>
      </c>
      <c r="M288" s="702">
        <f t="shared" si="69"/>
        <v>0</v>
      </c>
      <c r="N288" s="702">
        <f t="shared" si="69"/>
        <v>0</v>
      </c>
      <c r="O288" s="690" t="str">
        <f>$O$13</f>
        <v>Total Cost ($/Acre)</v>
      </c>
      <c r="P288" s="198" t="s">
        <v>417</v>
      </c>
      <c r="Q288" s="532"/>
      <c r="R288" s="532"/>
      <c r="S288" s="532"/>
      <c r="T288" s="532"/>
      <c r="U288" s="121"/>
      <c r="V288" s="121"/>
      <c r="W288" s="121"/>
      <c r="X288" s="121"/>
      <c r="Y288" s="121"/>
      <c r="Z288" s="121"/>
      <c r="AA288" s="121"/>
      <c r="AB288" s="121"/>
      <c r="AC288" s="532"/>
      <c r="AD288" s="532"/>
      <c r="AE288" s="532"/>
      <c r="AF288" s="532"/>
      <c r="AG288" s="532"/>
      <c r="AH288" s="532"/>
      <c r="AI288" s="532"/>
      <c r="AJ288" s="532"/>
      <c r="AK288" s="532"/>
      <c r="AL288" s="532"/>
      <c r="AM288" s="532"/>
      <c r="AN288" s="532"/>
      <c r="AO288" s="532"/>
      <c r="AP288" s="532"/>
      <c r="AQ288" s="532"/>
      <c r="AR288" s="532"/>
      <c r="AS288" s="532"/>
      <c r="AT288" s="532"/>
      <c r="AU288" s="532"/>
      <c r="AV288" s="532"/>
      <c r="AW288" s="532"/>
      <c r="AX288" s="532"/>
      <c r="AY288" s="532"/>
    </row>
    <row r="289" spans="1:51" s="154" customFormat="1" ht="12.75" x14ac:dyDescent="0.2">
      <c r="B289" s="714" t="str">
        <f>$B$14</f>
        <v>Operation</v>
      </c>
      <c r="C289" s="476"/>
      <c r="D289" s="694" t="str">
        <f>$D$14</f>
        <v>Depreciation</v>
      </c>
      <c r="E289" s="694" t="str">
        <f>$E$14</f>
        <v>Interest</v>
      </c>
      <c r="F289" s="694" t="str">
        <f>$F$14</f>
        <v>Taxes, housing, insurance, licenses</v>
      </c>
      <c r="G289" s="690" t="str">
        <f>$G$14</f>
        <v>Total Fixed Costs</v>
      </c>
      <c r="H289" s="694" t="str">
        <f>$H$14</f>
        <v>Repairs</v>
      </c>
      <c r="I289" s="694" t="str">
        <f>$I$14</f>
        <v>Lube Cost</v>
      </c>
      <c r="J289" s="703" t="str">
        <f>$J$14</f>
        <v>Fuel</v>
      </c>
      <c r="K289" s="703">
        <f>K243</f>
        <v>0</v>
      </c>
      <c r="L289" s="703" t="str">
        <f>$L$14</f>
        <v>Labor</v>
      </c>
      <c r="M289" s="703">
        <f>M243</f>
        <v>0</v>
      </c>
      <c r="N289" s="690" t="str">
        <f>$N$14</f>
        <v>Total Variable Costs</v>
      </c>
      <c r="O289" s="713"/>
      <c r="P289" s="590" t="s">
        <v>459</v>
      </c>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c r="AM289" s="532"/>
      <c r="AN289" s="532"/>
      <c r="AO289" s="532"/>
      <c r="AP289" s="532"/>
      <c r="AQ289" s="532"/>
      <c r="AR289" s="532"/>
      <c r="AS289" s="532"/>
      <c r="AT289" s="532"/>
      <c r="AU289" s="532"/>
      <c r="AV289" s="532"/>
      <c r="AW289" s="532"/>
      <c r="AX289" s="532"/>
      <c r="AY289" s="532"/>
    </row>
    <row r="290" spans="1:51" s="154" customFormat="1" ht="42" customHeight="1" x14ac:dyDescent="0.2">
      <c r="B290" s="715" t="str">
        <f>B244</f>
        <v>300HP Tractor &amp; 48' spring tooth harrow</v>
      </c>
      <c r="C290" s="475" t="s">
        <v>208</v>
      </c>
      <c r="D290" s="695"/>
      <c r="E290" s="695"/>
      <c r="F290" s="695"/>
      <c r="G290" s="691"/>
      <c r="H290" s="700">
        <f>H244</f>
        <v>0</v>
      </c>
      <c r="I290" s="700">
        <f>I244</f>
        <v>0</v>
      </c>
      <c r="J290" s="474" t="str">
        <f>$J$15</f>
        <v>Fuel Use gal/acre</v>
      </c>
      <c r="K290" s="474" t="str">
        <f>$K$15</f>
        <v>Fuel Cost</v>
      </c>
      <c r="L290" s="474" t="str">
        <f>$L$15</f>
        <v>Labor hrs/acre</v>
      </c>
      <c r="M290" s="474" t="str">
        <f>$M$15</f>
        <v>Labor Cost</v>
      </c>
      <c r="N290" s="691"/>
      <c r="O290" s="691"/>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c r="AM290" s="532"/>
      <c r="AN290" s="532"/>
      <c r="AO290" s="532"/>
      <c r="AP290" s="532"/>
      <c r="AQ290" s="532"/>
      <c r="AR290" s="532"/>
      <c r="AS290" s="532"/>
      <c r="AT290" s="532"/>
      <c r="AU290" s="532"/>
      <c r="AV290" s="532"/>
      <c r="AW290" s="532"/>
      <c r="AX290" s="532"/>
      <c r="AY290" s="532"/>
    </row>
    <row r="291" spans="1:51" s="154" customFormat="1" ht="12.75" x14ac:dyDescent="0.2">
      <c r="B291" s="165" t="str">
        <f>$B$16</f>
        <v>Seasonal operations:</v>
      </c>
      <c r="C291" s="457"/>
      <c r="D291" s="460"/>
      <c r="E291" s="460"/>
      <c r="F291" s="460"/>
      <c r="G291" s="461"/>
      <c r="H291" s="166"/>
      <c r="I291" s="166"/>
      <c r="J291" s="170"/>
      <c r="K291" s="170"/>
      <c r="L291" s="170"/>
      <c r="M291" s="170"/>
      <c r="N291" s="171"/>
      <c r="O291" s="167"/>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c r="AM291" s="532"/>
      <c r="AN291" s="532"/>
      <c r="AO291" s="532"/>
      <c r="AP291" s="532"/>
      <c r="AQ291" s="532"/>
      <c r="AR291" s="532"/>
      <c r="AS291" s="532"/>
      <c r="AT291" s="532"/>
      <c r="AU291" s="532"/>
      <c r="AV291" s="532"/>
      <c r="AW291" s="532"/>
      <c r="AX291" s="532"/>
      <c r="AY291" s="532"/>
    </row>
    <row r="292" spans="1:51" ht="15" x14ac:dyDescent="0.25">
      <c r="A292" s="532"/>
      <c r="B292" s="164" t="str">
        <f>$B$17</f>
        <v>Self-propelled sprayer</v>
      </c>
      <c r="C292" s="459">
        <v>2</v>
      </c>
      <c r="D292" s="173">
        <f>$D$17*$C292</f>
        <v>3.64</v>
      </c>
      <c r="E292" s="173">
        <f>$E$17*$C292</f>
        <v>3.76</v>
      </c>
      <c r="F292" s="173">
        <f>$F$17*$C292</f>
        <v>1.86</v>
      </c>
      <c r="G292" s="464">
        <f>SUM(D292:F292)</f>
        <v>9.26</v>
      </c>
      <c r="H292" s="173">
        <f>$H$17*$C292</f>
        <v>0.88</v>
      </c>
      <c r="I292" s="173">
        <f>$I$17*$C292</f>
        <v>0.04</v>
      </c>
      <c r="J292" s="174">
        <f>$J$17*$C292</f>
        <v>0.08</v>
      </c>
      <c r="K292" s="173">
        <f>$K$17*$C292</f>
        <v>0.28000000000000003</v>
      </c>
      <c r="L292" s="174">
        <f>$L$17*$C292</f>
        <v>0.04</v>
      </c>
      <c r="M292" s="175">
        <f>$M$17*$C292</f>
        <v>0.8</v>
      </c>
      <c r="N292" s="239">
        <f t="shared" ref="N292:N297" si="70">SUM(H292,I292,K292,M292)</f>
        <v>2</v>
      </c>
      <c r="O292" s="176"/>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c r="AM292" s="532"/>
      <c r="AN292" s="532"/>
      <c r="AO292" s="532"/>
      <c r="AP292" s="532"/>
      <c r="AQ292" s="532"/>
      <c r="AR292" s="532"/>
      <c r="AS292" s="532"/>
      <c r="AT292" s="532"/>
      <c r="AU292" s="532"/>
      <c r="AV292" s="532"/>
      <c r="AW292" s="532"/>
      <c r="AX292" s="532"/>
      <c r="AY292" s="532"/>
    </row>
    <row r="293" spans="1:51" ht="15" x14ac:dyDescent="0.25">
      <c r="A293" s="532"/>
      <c r="B293" s="164" t="str">
        <f>$B$18</f>
        <v>300HP Tractor &amp; 90' sprayer</v>
      </c>
      <c r="C293" s="459">
        <v>0</v>
      </c>
      <c r="D293" s="173">
        <f>$D$18*$C293</f>
        <v>0</v>
      </c>
      <c r="E293" s="173">
        <f>$E$18*$C293</f>
        <v>0</v>
      </c>
      <c r="F293" s="173">
        <f>$F$18*$C293</f>
        <v>0</v>
      </c>
      <c r="G293" s="464">
        <f>SUM(D293:F293)</f>
        <v>0</v>
      </c>
      <c r="H293" s="173">
        <f>$H$18*$C293</f>
        <v>0</v>
      </c>
      <c r="I293" s="173">
        <f>$I$18*$C293</f>
        <v>0</v>
      </c>
      <c r="J293" s="174">
        <f>$J$18*$C293</f>
        <v>0</v>
      </c>
      <c r="K293" s="173">
        <f>$K$18*$C293</f>
        <v>0</v>
      </c>
      <c r="L293" s="174">
        <f>$L$18*$C293</f>
        <v>0</v>
      </c>
      <c r="M293" s="175">
        <f>$M$18*$C293</f>
        <v>0</v>
      </c>
      <c r="N293" s="239">
        <f t="shared" si="70"/>
        <v>0</v>
      </c>
      <c r="O293" s="176"/>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c r="AM293" s="532"/>
      <c r="AN293" s="532"/>
      <c r="AO293" s="532"/>
      <c r="AP293" s="532"/>
      <c r="AQ293" s="532"/>
      <c r="AR293" s="532"/>
      <c r="AS293" s="532"/>
      <c r="AT293" s="532"/>
      <c r="AU293" s="532"/>
      <c r="AV293" s="532"/>
      <c r="AW293" s="532"/>
      <c r="AX293" s="532"/>
      <c r="AY293" s="532"/>
    </row>
    <row r="294" spans="1:51" s="154" customFormat="1" ht="15" x14ac:dyDescent="0.25">
      <c r="B294" s="156" t="str">
        <f>$B$19</f>
        <v>300HP Tractor &amp; 48' rodweeder</v>
      </c>
      <c r="C294" s="459">
        <v>0</v>
      </c>
      <c r="D294" s="173">
        <f>$D$19*$C294</f>
        <v>0</v>
      </c>
      <c r="E294" s="173">
        <f>$E$19*$C294</f>
        <v>0</v>
      </c>
      <c r="F294" s="173">
        <f>$F$19*$C294</f>
        <v>0</v>
      </c>
      <c r="G294" s="464">
        <f>SUM(D294:F294)</f>
        <v>0</v>
      </c>
      <c r="H294" s="173">
        <f>$H$19*$C294</f>
        <v>0</v>
      </c>
      <c r="I294" s="173">
        <f>$I$19*$C294</f>
        <v>0</v>
      </c>
      <c r="J294" s="174">
        <f>$J$19*$C294</f>
        <v>0</v>
      </c>
      <c r="K294" s="173">
        <f>$K$19*$C294</f>
        <v>0</v>
      </c>
      <c r="L294" s="174">
        <f>$L$19*$C294</f>
        <v>0</v>
      </c>
      <c r="M294" s="175">
        <f>$M$19*$C294</f>
        <v>0</v>
      </c>
      <c r="N294" s="239">
        <f t="shared" si="70"/>
        <v>0</v>
      </c>
      <c r="O294" s="176"/>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c r="AM294" s="532"/>
      <c r="AN294" s="532"/>
      <c r="AO294" s="532"/>
      <c r="AP294" s="532"/>
      <c r="AQ294" s="532"/>
      <c r="AR294" s="532"/>
      <c r="AS294" s="532"/>
      <c r="AT294" s="532"/>
      <c r="AU294" s="532"/>
      <c r="AV294" s="532"/>
      <c r="AW294" s="532"/>
      <c r="AX294" s="532"/>
      <c r="AY294" s="532"/>
    </row>
    <row r="295" spans="1:51" s="154" customFormat="1" ht="15" x14ac:dyDescent="0.25">
      <c r="B295" s="164" t="str">
        <f>$B$20</f>
        <v>300HP Tractor &amp; 26' shredder</v>
      </c>
      <c r="C295" s="459">
        <v>0</v>
      </c>
      <c r="D295" s="173">
        <f>$D$20*$C295</f>
        <v>0</v>
      </c>
      <c r="E295" s="173">
        <f>$E$20*$C295</f>
        <v>0</v>
      </c>
      <c r="F295" s="173">
        <f>$F$20*$C295</f>
        <v>0</v>
      </c>
      <c r="G295" s="464">
        <f>SUM(D295:F295)</f>
        <v>0</v>
      </c>
      <c r="H295" s="173">
        <f>$H$20*$C295</f>
        <v>0</v>
      </c>
      <c r="I295" s="173">
        <f>$I$20*$C295</f>
        <v>0</v>
      </c>
      <c r="J295" s="174">
        <f>$J$20*$C295</f>
        <v>0</v>
      </c>
      <c r="K295" s="173">
        <f>$K$20*$C295</f>
        <v>0</v>
      </c>
      <c r="L295" s="174">
        <f>$L$20*$C295</f>
        <v>0</v>
      </c>
      <c r="M295" s="175">
        <f>$M$20*$C295</f>
        <v>0</v>
      </c>
      <c r="N295" s="239">
        <f t="shared" si="70"/>
        <v>0</v>
      </c>
      <c r="O295" s="176"/>
      <c r="P295" s="532"/>
      <c r="Q295" s="532"/>
      <c r="R295" s="532"/>
      <c r="S295" s="532"/>
      <c r="T295" s="532"/>
      <c r="U295" s="532"/>
      <c r="V295" s="532"/>
      <c r="W295" s="532"/>
      <c r="X295" s="532"/>
      <c r="Y295" s="532"/>
      <c r="Z295" s="532"/>
      <c r="AA295" s="532"/>
      <c r="AB295" s="532"/>
      <c r="AC295" s="532"/>
      <c r="AD295" s="532"/>
      <c r="AE295" s="532"/>
      <c r="AF295" s="532"/>
      <c r="AG295" s="532"/>
      <c r="AH295" s="532"/>
      <c r="AI295" s="532"/>
      <c r="AJ295" s="532"/>
      <c r="AK295" s="532"/>
      <c r="AL295" s="532"/>
      <c r="AM295" s="532"/>
      <c r="AN295" s="532"/>
      <c r="AO295" s="532"/>
      <c r="AP295" s="532"/>
      <c r="AQ295" s="532"/>
      <c r="AR295" s="532"/>
      <c r="AS295" s="532"/>
      <c r="AT295" s="532"/>
      <c r="AU295" s="532"/>
      <c r="AV295" s="532"/>
      <c r="AW295" s="532"/>
      <c r="AX295" s="532"/>
      <c r="AY295" s="532"/>
    </row>
    <row r="296" spans="1:51" s="154" customFormat="1" ht="15" x14ac:dyDescent="0.25">
      <c r="B296" s="164" t="str">
        <f>$B$21</f>
        <v>300HP Tractor &amp; 34' tandem disk</v>
      </c>
      <c r="C296" s="459">
        <v>0</v>
      </c>
      <c r="D296" s="173">
        <f>$D$21*$C296</f>
        <v>0</v>
      </c>
      <c r="E296" s="173">
        <f>$E$21*$C296</f>
        <v>0</v>
      </c>
      <c r="F296" s="173">
        <f>$F$21*$C296</f>
        <v>0</v>
      </c>
      <c r="G296" s="464">
        <f t="shared" ref="G296:G304" si="71">SUM(D296:F296)</f>
        <v>0</v>
      </c>
      <c r="H296" s="173">
        <f>$H$21*$C296</f>
        <v>0</v>
      </c>
      <c r="I296" s="173">
        <f>$I$21*$C296</f>
        <v>0</v>
      </c>
      <c r="J296" s="174">
        <f>$J$21*$C296</f>
        <v>0</v>
      </c>
      <c r="K296" s="173">
        <f>$K$21*$C296</f>
        <v>0</v>
      </c>
      <c r="L296" s="174">
        <f>$L$21*$C296</f>
        <v>0</v>
      </c>
      <c r="M296" s="175">
        <f>$M$21*$C296</f>
        <v>0</v>
      </c>
      <c r="N296" s="239">
        <f t="shared" si="70"/>
        <v>0</v>
      </c>
      <c r="O296" s="176"/>
      <c r="P296" s="532"/>
      <c r="Q296" s="532"/>
      <c r="R296" s="532"/>
      <c r="S296" s="532"/>
      <c r="T296" s="532"/>
      <c r="U296" s="532"/>
      <c r="V296" s="532"/>
      <c r="W296" s="532"/>
      <c r="X296" s="532"/>
      <c r="Y296" s="532"/>
      <c r="Z296" s="532"/>
      <c r="AA296" s="532"/>
      <c r="AB296" s="532"/>
      <c r="AC296" s="532"/>
      <c r="AD296" s="532"/>
      <c r="AE296" s="532"/>
      <c r="AF296" s="532"/>
      <c r="AG296" s="532"/>
      <c r="AH296" s="532"/>
      <c r="AI296" s="532"/>
      <c r="AJ296" s="532"/>
      <c r="AK296" s="532"/>
      <c r="AL296" s="532"/>
      <c r="AM296" s="532"/>
      <c r="AN296" s="532"/>
      <c r="AO296" s="532"/>
      <c r="AP296" s="532"/>
      <c r="AQ296" s="532"/>
      <c r="AR296" s="532"/>
      <c r="AS296" s="532"/>
      <c r="AT296" s="532"/>
      <c r="AU296" s="532"/>
      <c r="AV296" s="532"/>
      <c r="AW296" s="532"/>
      <c r="AX296" s="532"/>
      <c r="AY296" s="532"/>
    </row>
    <row r="297" spans="1:51" ht="15" x14ac:dyDescent="0.25">
      <c r="A297" s="532"/>
      <c r="B297" s="164" t="str">
        <f>$B$22</f>
        <v>300HP Tractor &amp; 36' cultiweeder</v>
      </c>
      <c r="C297" s="459">
        <v>0</v>
      </c>
      <c r="D297" s="173">
        <f>$D$22*$C297</f>
        <v>0</v>
      </c>
      <c r="E297" s="173">
        <f>$E$22*$C297</f>
        <v>0</v>
      </c>
      <c r="F297" s="173">
        <f>$F$22*$C297</f>
        <v>0</v>
      </c>
      <c r="G297" s="464">
        <f>SUM(D297:F297)</f>
        <v>0</v>
      </c>
      <c r="H297" s="173">
        <f>$H$22*$C297</f>
        <v>0</v>
      </c>
      <c r="I297" s="173">
        <f>$I$22*$C297</f>
        <v>0</v>
      </c>
      <c r="J297" s="174">
        <f>$J$22*$C297</f>
        <v>0</v>
      </c>
      <c r="K297" s="173">
        <f>$K$22*$C297</f>
        <v>0</v>
      </c>
      <c r="L297" s="174">
        <f>$L$22*$C297</f>
        <v>0</v>
      </c>
      <c r="M297" s="175">
        <f>$M$22*$C297</f>
        <v>0</v>
      </c>
      <c r="N297" s="239">
        <f t="shared" si="70"/>
        <v>0</v>
      </c>
      <c r="O297" s="176"/>
      <c r="P297" s="532"/>
      <c r="Q297" s="532"/>
      <c r="R297" s="532"/>
      <c r="S297" s="532"/>
      <c r="T297" s="532"/>
      <c r="U297" s="532"/>
      <c r="V297" s="532"/>
      <c r="W297" s="532"/>
      <c r="X297" s="532"/>
      <c r="Y297" s="532"/>
      <c r="Z297" s="532"/>
      <c r="AA297" s="532"/>
      <c r="AB297" s="532"/>
      <c r="AC297" s="532"/>
      <c r="AD297" s="532"/>
      <c r="AE297" s="532"/>
      <c r="AF297" s="532"/>
      <c r="AG297" s="532"/>
      <c r="AH297" s="532"/>
      <c r="AI297" s="532"/>
      <c r="AJ297" s="532"/>
      <c r="AK297" s="532"/>
      <c r="AL297" s="532"/>
      <c r="AM297" s="532"/>
      <c r="AN297" s="532"/>
      <c r="AO297" s="532"/>
      <c r="AP297" s="532"/>
      <c r="AQ297" s="532"/>
      <c r="AR297" s="532"/>
      <c r="AS297" s="532"/>
      <c r="AT297" s="532"/>
      <c r="AU297" s="532"/>
      <c r="AV297" s="532"/>
      <c r="AW297" s="532"/>
      <c r="AX297" s="532"/>
      <c r="AY297" s="532"/>
    </row>
    <row r="298" spans="1:51" s="154" customFormat="1" ht="15" x14ac:dyDescent="0.25">
      <c r="B298" s="156" t="str">
        <f>$B$23</f>
        <v>300HP Tractor &amp; 35' chisel plow</v>
      </c>
      <c r="C298" s="459">
        <v>0</v>
      </c>
      <c r="D298" s="173">
        <f>$D$23*$C298</f>
        <v>0</v>
      </c>
      <c r="E298" s="173">
        <f>$E$23*$C298</f>
        <v>0</v>
      </c>
      <c r="F298" s="173">
        <f>$F$23*$C298</f>
        <v>0</v>
      </c>
      <c r="G298" s="464">
        <f t="shared" si="71"/>
        <v>0</v>
      </c>
      <c r="H298" s="173">
        <f>$H$23*$C298</f>
        <v>0</v>
      </c>
      <c r="I298" s="173">
        <f>$I$23*$C298</f>
        <v>0</v>
      </c>
      <c r="J298" s="174">
        <f>$J$23*$C298</f>
        <v>0</v>
      </c>
      <c r="K298" s="173">
        <f>$K$23*$C298</f>
        <v>0</v>
      </c>
      <c r="L298" s="174">
        <f>$L$23*$C298</f>
        <v>0</v>
      </c>
      <c r="M298" s="175">
        <f>$M$23*$C298</f>
        <v>0</v>
      </c>
      <c r="N298" s="239">
        <f t="shared" ref="N298:N304" si="72">SUM(H298,I298,K298,M298)</f>
        <v>0</v>
      </c>
      <c r="O298" s="176"/>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2"/>
    </row>
    <row r="299" spans="1:51" s="154" customFormat="1" ht="15" x14ac:dyDescent="0.25">
      <c r="B299" s="156" t="str">
        <f>$B$24</f>
        <v>300HP Tractor &amp; 36' cultivator</v>
      </c>
      <c r="C299" s="459">
        <v>0</v>
      </c>
      <c r="D299" s="173">
        <f>$D$24*$C299</f>
        <v>0</v>
      </c>
      <c r="E299" s="173">
        <f>$E$24*$C299</f>
        <v>0</v>
      </c>
      <c r="F299" s="173">
        <f>$F$24*$C299</f>
        <v>0</v>
      </c>
      <c r="G299" s="464">
        <f t="shared" si="71"/>
        <v>0</v>
      </c>
      <c r="H299" s="173">
        <f>$H$24*$C299</f>
        <v>0</v>
      </c>
      <c r="I299" s="173">
        <f>$I$24*$C299</f>
        <v>0</v>
      </c>
      <c r="J299" s="174">
        <f>$J$24*$C299</f>
        <v>0</v>
      </c>
      <c r="K299" s="173">
        <f>$K$24*$C299</f>
        <v>0</v>
      </c>
      <c r="L299" s="174">
        <f>$L$24*$C299</f>
        <v>0</v>
      </c>
      <c r="M299" s="175">
        <f>$M$24*$C299</f>
        <v>0</v>
      </c>
      <c r="N299" s="239">
        <f t="shared" si="72"/>
        <v>0</v>
      </c>
      <c r="O299" s="176"/>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c r="AM299" s="532"/>
      <c r="AN299" s="532"/>
      <c r="AO299" s="532"/>
      <c r="AP299" s="532"/>
      <c r="AQ299" s="532"/>
      <c r="AR299" s="532"/>
      <c r="AS299" s="532"/>
      <c r="AT299" s="532"/>
      <c r="AU299" s="532"/>
      <c r="AV299" s="532"/>
      <c r="AW299" s="532"/>
      <c r="AX299" s="532"/>
      <c r="AY299" s="532"/>
    </row>
    <row r="300" spans="1:51" s="154" customFormat="1" ht="15" x14ac:dyDescent="0.25">
      <c r="B300" s="156" t="str">
        <f>$B$25</f>
        <v>300HP Tractor &amp; 48' spring tooth harrow</v>
      </c>
      <c r="C300" s="459">
        <v>0</v>
      </c>
      <c r="D300" s="173">
        <f>$D$25*$C300</f>
        <v>0</v>
      </c>
      <c r="E300" s="173">
        <f>$E$25*$C300</f>
        <v>0</v>
      </c>
      <c r="F300" s="173">
        <f>$F$25*$C300</f>
        <v>0</v>
      </c>
      <c r="G300" s="464">
        <f t="shared" si="71"/>
        <v>0</v>
      </c>
      <c r="H300" s="173">
        <f>$H$25*$C300</f>
        <v>0</v>
      </c>
      <c r="I300" s="173">
        <f>$I$25*$C300</f>
        <v>0</v>
      </c>
      <c r="J300" s="174">
        <f>$J$25*$C300</f>
        <v>0</v>
      </c>
      <c r="K300" s="173">
        <f>$K$25*$C300</f>
        <v>0</v>
      </c>
      <c r="L300" s="174">
        <f>$L$25*$C300</f>
        <v>0</v>
      </c>
      <c r="M300" s="175">
        <f>$M$25*$C300</f>
        <v>0</v>
      </c>
      <c r="N300" s="239">
        <f t="shared" si="72"/>
        <v>0</v>
      </c>
      <c r="O300" s="176"/>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c r="AM300" s="532"/>
      <c r="AN300" s="532"/>
      <c r="AO300" s="532"/>
      <c r="AP300" s="532"/>
      <c r="AQ300" s="532"/>
      <c r="AR300" s="532"/>
      <c r="AS300" s="532"/>
      <c r="AT300" s="532"/>
      <c r="AU300" s="532"/>
      <c r="AV300" s="532"/>
      <c r="AW300" s="532"/>
      <c r="AX300" s="532"/>
      <c r="AY300" s="532"/>
    </row>
    <row r="301" spans="1:51" s="154" customFormat="1" ht="15" x14ac:dyDescent="0.25">
      <c r="B301" s="156" t="str">
        <f>$B$26</f>
        <v>300HP Tractor &amp; 36' grain drill</v>
      </c>
      <c r="C301" s="459">
        <v>1</v>
      </c>
      <c r="D301" s="173">
        <f>$D$26*$C301</f>
        <v>1.54</v>
      </c>
      <c r="E301" s="173">
        <f>$E$26*$C301</f>
        <v>1.4</v>
      </c>
      <c r="F301" s="173">
        <f>$F$26*$C301</f>
        <v>0.49</v>
      </c>
      <c r="G301" s="464">
        <f t="shared" si="71"/>
        <v>3.4299999999999997</v>
      </c>
      <c r="H301" s="173">
        <f>$H$26*$C301</f>
        <v>1.02</v>
      </c>
      <c r="I301" s="173">
        <f>$I$26*$C301</f>
        <v>0.56999999999999995</v>
      </c>
      <c r="J301" s="174">
        <f>$J$26*$C301</f>
        <v>1.1200000000000001</v>
      </c>
      <c r="K301" s="173">
        <f>$K$26*$C301</f>
        <v>3.81</v>
      </c>
      <c r="L301" s="174">
        <f>$L$26*$C301</f>
        <v>0.09</v>
      </c>
      <c r="M301" s="175">
        <f>$M$26*$C301</f>
        <v>1.8</v>
      </c>
      <c r="N301" s="239">
        <f t="shared" si="72"/>
        <v>7.2</v>
      </c>
      <c r="O301" s="176"/>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c r="AM301" s="532"/>
      <c r="AN301" s="532"/>
      <c r="AO301" s="532"/>
      <c r="AP301" s="532"/>
      <c r="AQ301" s="532"/>
      <c r="AR301" s="532"/>
      <c r="AS301" s="532"/>
      <c r="AT301" s="532"/>
      <c r="AU301" s="532"/>
      <c r="AV301" s="532"/>
      <c r="AW301" s="532"/>
      <c r="AX301" s="532"/>
      <c r="AY301" s="532"/>
    </row>
    <row r="302" spans="1:51" s="154" customFormat="1" ht="15" x14ac:dyDescent="0.25">
      <c r="B302" s="168" t="str">
        <f>$B$27</f>
        <v>Combine &amp; 30' header  *4 mph harvest speed*</v>
      </c>
      <c r="C302" s="459">
        <v>1</v>
      </c>
      <c r="D302" s="173">
        <f>$D$27*$C302</f>
        <v>2.48</v>
      </c>
      <c r="E302" s="173">
        <f>$E$27*$C302</f>
        <v>2.21</v>
      </c>
      <c r="F302" s="173">
        <f>$F$27*$C302</f>
        <v>0.92</v>
      </c>
      <c r="G302" s="464">
        <f t="shared" si="71"/>
        <v>5.6099999999999994</v>
      </c>
      <c r="H302" s="173">
        <f>$H$27*$C302</f>
        <v>2.29</v>
      </c>
      <c r="I302" s="173">
        <f>$I$27*$C302</f>
        <v>0.27</v>
      </c>
      <c r="J302" s="174">
        <f>$J$27*$C302</f>
        <v>0.52</v>
      </c>
      <c r="K302" s="173">
        <f>$K$27*$C302</f>
        <v>1.77</v>
      </c>
      <c r="L302" s="174">
        <f>$L$27*$C302</f>
        <v>0.09</v>
      </c>
      <c r="M302" s="175">
        <f>$M$27*$C302</f>
        <v>1.8</v>
      </c>
      <c r="N302" s="239">
        <f t="shared" si="72"/>
        <v>6.13</v>
      </c>
      <c r="O302" s="176"/>
      <c r="P302" s="533"/>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c r="AM302" s="532"/>
      <c r="AN302" s="532"/>
      <c r="AO302" s="532"/>
      <c r="AP302" s="532"/>
      <c r="AQ302" s="532"/>
      <c r="AR302" s="532"/>
      <c r="AS302" s="532"/>
      <c r="AT302" s="532"/>
      <c r="AU302" s="532"/>
      <c r="AV302" s="532"/>
      <c r="AW302" s="532"/>
      <c r="AX302" s="532"/>
      <c r="AY302" s="532"/>
    </row>
    <row r="303" spans="1:51" ht="15" x14ac:dyDescent="0.25">
      <c r="A303" s="532"/>
      <c r="B303" s="168" t="str">
        <f>$B$28</f>
        <v>Combine &amp; 30' header *3 mph harvest speed*</v>
      </c>
      <c r="C303" s="459">
        <v>0</v>
      </c>
      <c r="D303" s="173">
        <f>$D$28*$C303</f>
        <v>0</v>
      </c>
      <c r="E303" s="173">
        <f>$E$28*$C303</f>
        <v>0</v>
      </c>
      <c r="F303" s="173">
        <f>$F$28*$C303</f>
        <v>0</v>
      </c>
      <c r="G303" s="464">
        <f>SUM(D303:F303)</f>
        <v>0</v>
      </c>
      <c r="H303" s="173">
        <f>$H$28*$C303</f>
        <v>0</v>
      </c>
      <c r="I303" s="173">
        <f>$I$28*$C303</f>
        <v>0</v>
      </c>
      <c r="J303" s="174">
        <f>$J$28*$C303</f>
        <v>0</v>
      </c>
      <c r="K303" s="173">
        <f>$K$28*$C303</f>
        <v>0</v>
      </c>
      <c r="L303" s="174">
        <f>$L$28*$C303</f>
        <v>0</v>
      </c>
      <c r="M303" s="175">
        <f>$M$28*$C303</f>
        <v>0</v>
      </c>
      <c r="N303" s="239">
        <f t="shared" si="72"/>
        <v>0</v>
      </c>
      <c r="O303" s="176"/>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c r="AM303" s="532"/>
      <c r="AN303" s="532"/>
      <c r="AO303" s="532"/>
      <c r="AP303" s="532"/>
      <c r="AQ303" s="532"/>
      <c r="AR303" s="532"/>
      <c r="AS303" s="532"/>
      <c r="AT303" s="532"/>
      <c r="AU303" s="532"/>
      <c r="AV303" s="532"/>
      <c r="AW303" s="532"/>
      <c r="AX303" s="532"/>
      <c r="AY303" s="532"/>
    </row>
    <row r="304" spans="1:51" s="154" customFormat="1" ht="15" x14ac:dyDescent="0.25">
      <c r="B304" s="168" t="str">
        <f>$B$29</f>
        <v>300HP Tractor &amp; Bankout wagon</v>
      </c>
      <c r="C304" s="459">
        <v>1</v>
      </c>
      <c r="D304" s="173">
        <f>$D$29*$C304</f>
        <v>0.9163</v>
      </c>
      <c r="E304" s="173">
        <f>$E$29*$C304</f>
        <v>0.53899999999999992</v>
      </c>
      <c r="F304" s="173">
        <f>$F$29*$C304</f>
        <v>8.4699999999999998E-2</v>
      </c>
      <c r="G304" s="464">
        <f t="shared" si="71"/>
        <v>1.5399999999999998</v>
      </c>
      <c r="H304" s="173">
        <f>$H$29*$C304</f>
        <v>0.40810000000000002</v>
      </c>
      <c r="I304" s="173">
        <f>$I$29*$C304</f>
        <v>0.25</v>
      </c>
      <c r="J304" s="174">
        <f>$J$29*$C304</f>
        <v>0.49</v>
      </c>
      <c r="K304" s="173">
        <f>$K$29*$C304</f>
        <v>1.67</v>
      </c>
      <c r="L304" s="174">
        <f>$L$29*$C304</f>
        <v>0.09</v>
      </c>
      <c r="M304" s="175">
        <f>$M$29*$C304</f>
        <v>1.8</v>
      </c>
      <c r="N304" s="239">
        <f t="shared" si="72"/>
        <v>4.1280999999999999</v>
      </c>
      <c r="O304" s="176"/>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c r="AM304" s="532"/>
      <c r="AN304" s="532"/>
      <c r="AO304" s="532"/>
      <c r="AP304" s="532"/>
      <c r="AQ304" s="532"/>
      <c r="AR304" s="532"/>
      <c r="AS304" s="532"/>
      <c r="AT304" s="532"/>
      <c r="AU304" s="532"/>
      <c r="AV304" s="532"/>
      <c r="AW304" s="532"/>
      <c r="AX304" s="532"/>
      <c r="AY304" s="532"/>
    </row>
    <row r="305" spans="1:51" s="154" customFormat="1" ht="15" x14ac:dyDescent="0.25">
      <c r="B305" s="255" t="str">
        <f>$B$30</f>
        <v>Annual Costs:</v>
      </c>
      <c r="C305" s="454"/>
      <c r="D305" s="268"/>
      <c r="E305" s="268"/>
      <c r="F305" s="268"/>
      <c r="G305" s="465"/>
      <c r="H305" s="269"/>
      <c r="I305" s="269"/>
      <c r="J305" s="270"/>
      <c r="K305" s="269"/>
      <c r="L305" s="270"/>
      <c r="M305" s="271"/>
      <c r="N305" s="272"/>
      <c r="O305" s="273"/>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c r="AM305" s="532"/>
      <c r="AN305" s="532"/>
      <c r="AO305" s="532"/>
      <c r="AP305" s="532"/>
      <c r="AQ305" s="532"/>
      <c r="AR305" s="532"/>
      <c r="AS305" s="532"/>
      <c r="AT305" s="532"/>
      <c r="AU305" s="532"/>
      <c r="AV305" s="532"/>
      <c r="AW305" s="532"/>
      <c r="AX305" s="532"/>
      <c r="AY305" s="532"/>
    </row>
    <row r="306" spans="1:51" s="154" customFormat="1" ht="15" x14ac:dyDescent="0.25">
      <c r="B306" s="261" t="str">
        <f>$B$31</f>
        <v>Tandem axle truck</v>
      </c>
      <c r="C306" s="458"/>
      <c r="D306" s="274">
        <f>$D$31</f>
        <v>0.39</v>
      </c>
      <c r="E306" s="274">
        <f>$E$31</f>
        <v>0.44</v>
      </c>
      <c r="F306" s="274">
        <f>$F$31</f>
        <v>0.72</v>
      </c>
      <c r="G306" s="466">
        <f>$G$31</f>
        <v>1.55</v>
      </c>
      <c r="H306" s="274">
        <f>$H$31</f>
        <v>0.56999999999999995</v>
      </c>
      <c r="I306" s="274">
        <f>$I$31</f>
        <v>0.04</v>
      </c>
      <c r="J306" s="275">
        <f>$J$31</f>
        <v>7.0000000000000007E-2</v>
      </c>
      <c r="K306" s="274">
        <f>$K$31</f>
        <v>0.24</v>
      </c>
      <c r="L306" s="275">
        <f>$L$31</f>
        <v>0.03</v>
      </c>
      <c r="M306" s="266">
        <f>$M$31</f>
        <v>0.51</v>
      </c>
      <c r="N306" s="276">
        <f t="shared" ref="N306:N311" si="73">SUM(H306,I306,K306,M306)</f>
        <v>1.3599999999999999</v>
      </c>
      <c r="O306" s="277"/>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c r="AM306" s="532"/>
      <c r="AN306" s="532"/>
      <c r="AO306" s="532"/>
      <c r="AP306" s="532"/>
      <c r="AQ306" s="532"/>
      <c r="AR306" s="532"/>
      <c r="AS306" s="532"/>
      <c r="AT306" s="532"/>
      <c r="AU306" s="532"/>
      <c r="AV306" s="532"/>
      <c r="AW306" s="532"/>
      <c r="AX306" s="532"/>
      <c r="AY306" s="532"/>
    </row>
    <row r="307" spans="1:51" s="154" customFormat="1" ht="15" x14ac:dyDescent="0.25">
      <c r="B307" s="261" t="str">
        <f>$B$32</f>
        <v>Tandem axle truck</v>
      </c>
      <c r="C307" s="458"/>
      <c r="D307" s="274">
        <f>$D$32</f>
        <v>0.39</v>
      </c>
      <c r="E307" s="274">
        <f>$E$32</f>
        <v>0.44</v>
      </c>
      <c r="F307" s="274">
        <f>$F$32</f>
        <v>0.72</v>
      </c>
      <c r="G307" s="466">
        <f>$G$32</f>
        <v>1.55</v>
      </c>
      <c r="H307" s="274">
        <f>$H$32</f>
        <v>0.56999999999999995</v>
      </c>
      <c r="I307" s="274">
        <f>$I$32</f>
        <v>0.04</v>
      </c>
      <c r="J307" s="275">
        <f>$J$32</f>
        <v>7.0000000000000007E-2</v>
      </c>
      <c r="K307" s="274">
        <f>$K$32</f>
        <v>0.24</v>
      </c>
      <c r="L307" s="275">
        <f>$L$32</f>
        <v>0.03</v>
      </c>
      <c r="M307" s="266">
        <f>$M$32</f>
        <v>0.51</v>
      </c>
      <c r="N307" s="276">
        <f t="shared" si="73"/>
        <v>1.3599999999999999</v>
      </c>
      <c r="O307" s="277"/>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c r="AM307" s="532"/>
      <c r="AN307" s="532"/>
      <c r="AO307" s="532"/>
      <c r="AP307" s="532"/>
      <c r="AQ307" s="532"/>
      <c r="AR307" s="532"/>
      <c r="AS307" s="532"/>
      <c r="AT307" s="532"/>
      <c r="AU307" s="532"/>
      <c r="AV307" s="532"/>
      <c r="AW307" s="532"/>
      <c r="AX307" s="532"/>
      <c r="AY307" s="532"/>
    </row>
    <row r="308" spans="1:51" s="154" customFormat="1" ht="15" x14ac:dyDescent="0.25">
      <c r="B308" s="261" t="str">
        <f>$B$33</f>
        <v>2-ton truck</v>
      </c>
      <c r="C308" s="458"/>
      <c r="D308" s="274">
        <f>$D$33</f>
        <v>0.32</v>
      </c>
      <c r="E308" s="274">
        <f>$E$33</f>
        <v>0.26</v>
      </c>
      <c r="F308" s="274">
        <f>$F$33</f>
        <v>0.42</v>
      </c>
      <c r="G308" s="466">
        <f>$G$33</f>
        <v>1</v>
      </c>
      <c r="H308" s="274">
        <f>$H$33</f>
        <v>0.28999999999999998</v>
      </c>
      <c r="I308" s="274">
        <f>$I$33</f>
        <v>0.03</v>
      </c>
      <c r="J308" s="275">
        <f>$J$33</f>
        <v>0.05</v>
      </c>
      <c r="K308" s="274">
        <f>$K$33</f>
        <v>0.17</v>
      </c>
      <c r="L308" s="275">
        <f>$L$33</f>
        <v>0.02</v>
      </c>
      <c r="M308" s="266">
        <f>$M$33</f>
        <v>0.34</v>
      </c>
      <c r="N308" s="276">
        <f t="shared" si="73"/>
        <v>0.83000000000000007</v>
      </c>
      <c r="O308" s="277"/>
      <c r="P308" s="532"/>
      <c r="Q308" s="532"/>
      <c r="R308" s="532"/>
      <c r="S308" s="532"/>
      <c r="T308" s="532"/>
      <c r="U308" s="532"/>
      <c r="V308" s="532"/>
      <c r="W308" s="532"/>
      <c r="X308" s="532"/>
      <c r="Y308" s="532"/>
      <c r="Z308" s="532"/>
      <c r="AA308" s="532"/>
      <c r="AB308" s="532"/>
      <c r="AC308" s="532"/>
      <c r="AD308" s="532"/>
      <c r="AE308" s="532"/>
      <c r="AF308" s="532"/>
      <c r="AG308" s="532"/>
      <c r="AH308" s="532"/>
      <c r="AI308" s="532"/>
      <c r="AJ308" s="532"/>
      <c r="AK308" s="532"/>
      <c r="AL308" s="532"/>
      <c r="AM308" s="532"/>
      <c r="AN308" s="532"/>
      <c r="AO308" s="532"/>
      <c r="AP308" s="532"/>
      <c r="AQ308" s="532"/>
      <c r="AR308" s="532"/>
      <c r="AS308" s="532"/>
      <c r="AT308" s="532"/>
      <c r="AU308" s="532"/>
      <c r="AV308" s="532"/>
      <c r="AW308" s="532"/>
      <c r="AX308" s="532"/>
      <c r="AY308" s="532"/>
    </row>
    <row r="309" spans="1:51" s="154" customFormat="1" ht="15" x14ac:dyDescent="0.25">
      <c r="B309" s="261" t="str">
        <f>$B$34</f>
        <v>Trap wagon</v>
      </c>
      <c r="C309" s="458"/>
      <c r="D309" s="274">
        <f>$D$34</f>
        <v>0.35</v>
      </c>
      <c r="E309" s="274">
        <f>$E$34</f>
        <v>0.16</v>
      </c>
      <c r="F309" s="274">
        <f>$F$34</f>
        <v>0.26</v>
      </c>
      <c r="G309" s="466">
        <f>$G$34</f>
        <v>0.77</v>
      </c>
      <c r="H309" s="274">
        <f>$H$34</f>
        <v>0.12</v>
      </c>
      <c r="I309" s="274">
        <f>$I$34</f>
        <v>0.03</v>
      </c>
      <c r="J309" s="275">
        <f>$J$34</f>
        <v>0.05</v>
      </c>
      <c r="K309" s="274">
        <f>$K$34</f>
        <v>0.17</v>
      </c>
      <c r="L309" s="275">
        <f>$L$34</f>
        <v>0.02</v>
      </c>
      <c r="M309" s="266">
        <f>$M$34</f>
        <v>0.34</v>
      </c>
      <c r="N309" s="276">
        <f t="shared" si="73"/>
        <v>0.66</v>
      </c>
      <c r="O309" s="277"/>
      <c r="P309" s="532"/>
      <c r="Q309" s="532"/>
      <c r="R309" s="532"/>
      <c r="S309" s="532"/>
      <c r="T309" s="532"/>
      <c r="U309" s="532"/>
      <c r="V309" s="532"/>
      <c r="W309" s="532"/>
      <c r="X309" s="532"/>
      <c r="Y309" s="532"/>
      <c r="Z309" s="532"/>
      <c r="AA309" s="532"/>
      <c r="AB309" s="532"/>
      <c r="AC309" s="532"/>
      <c r="AD309" s="532"/>
      <c r="AE309" s="532"/>
      <c r="AF309" s="532"/>
      <c r="AG309" s="532"/>
      <c r="AH309" s="532"/>
      <c r="AI309" s="532"/>
      <c r="AJ309" s="532"/>
      <c r="AK309" s="532"/>
      <c r="AL309" s="532"/>
      <c r="AM309" s="532"/>
      <c r="AN309" s="532"/>
      <c r="AO309" s="532"/>
      <c r="AP309" s="532"/>
      <c r="AQ309" s="532"/>
      <c r="AR309" s="532"/>
      <c r="AS309" s="532"/>
      <c r="AT309" s="532"/>
      <c r="AU309" s="532"/>
      <c r="AV309" s="532"/>
      <c r="AW309" s="532"/>
      <c r="AX309" s="532"/>
      <c r="AY309" s="532"/>
    </row>
    <row r="310" spans="1:51" s="154" customFormat="1" ht="15" x14ac:dyDescent="0.25">
      <c r="B310" s="261" t="str">
        <f>$B$35</f>
        <v>3/4-ton pick-up</v>
      </c>
      <c r="C310" s="458"/>
      <c r="D310" s="274">
        <f>$D$35</f>
        <v>0.6</v>
      </c>
      <c r="E310" s="274">
        <f>$E$35</f>
        <v>0.42</v>
      </c>
      <c r="F310" s="274">
        <f>$F$35</f>
        <v>0.45</v>
      </c>
      <c r="G310" s="466">
        <f>$G$35</f>
        <v>1.47</v>
      </c>
      <c r="H310" s="274">
        <f>$H$35</f>
        <v>0.17</v>
      </c>
      <c r="I310" s="274">
        <f>$I$35</f>
        <v>0.02</v>
      </c>
      <c r="J310" s="275">
        <f>$J$35</f>
        <v>0.03</v>
      </c>
      <c r="K310" s="274">
        <f>$K$35</f>
        <v>0.11</v>
      </c>
      <c r="L310" s="275">
        <f>$L$35</f>
        <v>0.01</v>
      </c>
      <c r="M310" s="266">
        <f>$M$35</f>
        <v>0.17</v>
      </c>
      <c r="N310" s="276">
        <f t="shared" si="73"/>
        <v>0.47</v>
      </c>
      <c r="O310" s="277"/>
      <c r="P310" s="532"/>
      <c r="Q310" s="532"/>
      <c r="R310" s="532"/>
      <c r="S310" s="532"/>
      <c r="T310" s="532"/>
      <c r="U310" s="532"/>
      <c r="V310" s="532"/>
      <c r="W310" s="532"/>
      <c r="X310" s="532"/>
      <c r="Y310" s="532"/>
      <c r="Z310" s="532"/>
      <c r="AA310" s="532"/>
      <c r="AB310" s="532"/>
      <c r="AC310" s="532"/>
      <c r="AD310" s="532"/>
      <c r="AE310" s="532"/>
      <c r="AF310" s="532"/>
      <c r="AG310" s="532"/>
      <c r="AH310" s="532"/>
      <c r="AI310" s="532"/>
      <c r="AJ310" s="532"/>
      <c r="AK310" s="532"/>
      <c r="AL310" s="532"/>
      <c r="AM310" s="532"/>
      <c r="AN310" s="532"/>
      <c r="AO310" s="532"/>
      <c r="AP310" s="532"/>
      <c r="AQ310" s="532"/>
      <c r="AR310" s="532"/>
      <c r="AS310" s="532"/>
      <c r="AT310" s="532"/>
      <c r="AU310" s="532"/>
      <c r="AV310" s="532"/>
      <c r="AW310" s="532"/>
      <c r="AX310" s="532"/>
      <c r="AY310" s="532"/>
    </row>
    <row r="311" spans="1:51" s="154" customFormat="1" ht="15" x14ac:dyDescent="0.25">
      <c r="B311" s="261" t="str">
        <f>$B$36</f>
        <v>ATV</v>
      </c>
      <c r="C311" s="458"/>
      <c r="D311" s="274">
        <f>$D$36</f>
        <v>0.25</v>
      </c>
      <c r="E311" s="274">
        <f>$E$36</f>
        <v>0.14000000000000001</v>
      </c>
      <c r="F311" s="274">
        <f>$F$36</f>
        <v>0.03</v>
      </c>
      <c r="G311" s="466">
        <f>$G$36</f>
        <v>0.42000000000000004</v>
      </c>
      <c r="H311" s="274">
        <f>$H$36</f>
        <v>0.05</v>
      </c>
      <c r="I311" s="274">
        <f>$I$36</f>
        <v>0.06</v>
      </c>
      <c r="J311" s="275">
        <f>$J$36</f>
        <v>0.12</v>
      </c>
      <c r="K311" s="274">
        <f>$K$36</f>
        <v>0.42</v>
      </c>
      <c r="L311" s="275">
        <f>$L$36</f>
        <v>0.11</v>
      </c>
      <c r="M311" s="266">
        <f>$M$36</f>
        <v>1.87</v>
      </c>
      <c r="N311" s="276">
        <f t="shared" si="73"/>
        <v>2.4000000000000004</v>
      </c>
      <c r="O311" s="277"/>
      <c r="P311" s="532"/>
      <c r="Q311" s="532"/>
      <c r="R311" s="532"/>
      <c r="S311" s="532"/>
      <c r="T311" s="532"/>
      <c r="U311" s="532"/>
      <c r="V311" s="532"/>
      <c r="W311" s="532"/>
      <c r="X311" s="532"/>
      <c r="Y311" s="532"/>
      <c r="Z311" s="532"/>
      <c r="AA311" s="532"/>
      <c r="AB311" s="532"/>
      <c r="AC311" s="532"/>
      <c r="AD311" s="532"/>
      <c r="AE311" s="532"/>
      <c r="AF311" s="532"/>
      <c r="AG311" s="532"/>
      <c r="AH311" s="532"/>
      <c r="AI311" s="532"/>
      <c r="AJ311" s="532"/>
      <c r="AK311" s="532"/>
      <c r="AL311" s="532"/>
      <c r="AM311" s="532"/>
      <c r="AN311" s="532"/>
      <c r="AO311" s="532"/>
      <c r="AP311" s="532"/>
      <c r="AQ311" s="532"/>
      <c r="AR311" s="532"/>
      <c r="AS311" s="532"/>
      <c r="AT311" s="532"/>
      <c r="AU311" s="532"/>
      <c r="AV311" s="532"/>
      <c r="AW311" s="532"/>
      <c r="AX311" s="532"/>
      <c r="AY311" s="532"/>
    </row>
    <row r="312" spans="1:51" s="154" customFormat="1" ht="13.5" thickBot="1" x14ac:dyDescent="0.25">
      <c r="B312" s="692" t="str">
        <f>$B$37</f>
        <v>Cost $/Acre</v>
      </c>
      <c r="C312" s="693"/>
      <c r="D312" s="237">
        <f t="shared" ref="D312:N312" si="74">SUM(D292:D311)</f>
        <v>10.876300000000001</v>
      </c>
      <c r="E312" s="237">
        <f t="shared" si="74"/>
        <v>9.7690000000000001</v>
      </c>
      <c r="F312" s="237">
        <f t="shared" si="74"/>
        <v>5.9546999999999999</v>
      </c>
      <c r="G312" s="237">
        <f t="shared" si="74"/>
        <v>26.599999999999998</v>
      </c>
      <c r="H312" s="237">
        <f t="shared" si="74"/>
        <v>6.3681000000000001</v>
      </c>
      <c r="I312" s="237">
        <f t="shared" si="74"/>
        <v>1.35</v>
      </c>
      <c r="J312" s="159">
        <f t="shared" si="74"/>
        <v>2.5999999999999992</v>
      </c>
      <c r="K312" s="237">
        <f t="shared" si="74"/>
        <v>8.879999999999999</v>
      </c>
      <c r="L312" s="159">
        <f t="shared" si="74"/>
        <v>0.53</v>
      </c>
      <c r="M312" s="237">
        <f t="shared" si="74"/>
        <v>9.9400000000000013</v>
      </c>
      <c r="N312" s="237">
        <f t="shared" si="74"/>
        <v>26.5381</v>
      </c>
      <c r="O312" s="157">
        <f>SUM(G312,N312)</f>
        <v>53.138099999999994</v>
      </c>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row>
    <row r="313" spans="1:51" s="154" customFormat="1" ht="12.75" x14ac:dyDescent="0.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c r="AM313" s="532"/>
      <c r="AN313" s="532"/>
      <c r="AO313" s="532"/>
      <c r="AP313" s="532"/>
      <c r="AQ313" s="532"/>
      <c r="AR313" s="532"/>
      <c r="AS313" s="532"/>
      <c r="AT313" s="532"/>
      <c r="AU313" s="532"/>
      <c r="AV313" s="532"/>
      <c r="AW313" s="532"/>
      <c r="AX313" s="532"/>
      <c r="AY313" s="532"/>
    </row>
    <row r="314" spans="1:51" s="121" customFormat="1" ht="12.75" x14ac:dyDescent="0.2">
      <c r="A314" s="154"/>
      <c r="B314" s="154"/>
      <c r="C314" s="154"/>
      <c r="D314" s="154"/>
      <c r="E314" s="154"/>
      <c r="F314" s="154"/>
      <c r="G314" s="154"/>
      <c r="H314" s="154"/>
      <c r="I314" s="154"/>
      <c r="J314" s="154"/>
      <c r="K314" s="154"/>
      <c r="L314" s="154"/>
      <c r="M314" s="154"/>
      <c r="N314" s="154"/>
      <c r="O314" s="154"/>
      <c r="T314" s="532"/>
      <c r="U314" s="532"/>
      <c r="V314" s="532"/>
      <c r="W314" s="532"/>
      <c r="X314" s="532"/>
      <c r="Y314" s="532"/>
      <c r="Z314" s="532"/>
      <c r="AA314" s="532"/>
      <c r="AB314" s="532"/>
    </row>
    <row r="315" spans="1:51" s="154" customFormat="1" ht="15.75" x14ac:dyDescent="0.25">
      <c r="A315" s="121"/>
      <c r="B315" s="492" t="s">
        <v>320</v>
      </c>
      <c r="C315" s="493"/>
      <c r="D315" s="493"/>
      <c r="E315" s="493"/>
      <c r="F315" s="493"/>
      <c r="G315" s="493"/>
      <c r="H315" s="493"/>
      <c r="I315" s="493"/>
      <c r="J315" s="493"/>
      <c r="K315" s="623" t="s">
        <v>526</v>
      </c>
      <c r="L315" s="493"/>
      <c r="M315" s="493"/>
      <c r="N315" s="493"/>
      <c r="O315" s="494" t="s">
        <v>529</v>
      </c>
      <c r="P315" s="198"/>
      <c r="Q315" s="532"/>
      <c r="R315" s="532"/>
      <c r="S315" s="532"/>
      <c r="T315" s="121"/>
      <c r="U315" s="532"/>
      <c r="V315" s="532"/>
      <c r="W315" s="532"/>
      <c r="X315" s="532"/>
      <c r="Y315" s="532"/>
      <c r="Z315" s="532"/>
      <c r="AA315" s="532"/>
      <c r="AB315" s="532"/>
      <c r="AC315" s="532"/>
      <c r="AD315" s="532"/>
      <c r="AE315" s="532"/>
      <c r="AF315" s="532"/>
      <c r="AG315" s="532"/>
      <c r="AH315" s="532"/>
      <c r="AI315" s="532"/>
      <c r="AJ315" s="532"/>
      <c r="AK315" s="532"/>
      <c r="AL315" s="532"/>
      <c r="AM315" s="532"/>
      <c r="AN315" s="532"/>
      <c r="AO315" s="532"/>
      <c r="AP315" s="532"/>
      <c r="AQ315" s="532"/>
      <c r="AR315" s="532"/>
      <c r="AS315" s="532"/>
      <c r="AT315" s="532"/>
      <c r="AU315" s="532"/>
      <c r="AV315" s="532"/>
      <c r="AW315" s="532"/>
      <c r="AX315" s="532"/>
      <c r="AY315" s="532"/>
    </row>
    <row r="316" spans="1:51" s="154" customFormat="1" ht="15" x14ac:dyDescent="0.25">
      <c r="B316" s="155"/>
      <c r="C316" s="455"/>
      <c r="D316" s="704" t="s">
        <v>173</v>
      </c>
      <c r="E316" s="705"/>
      <c r="F316" s="705"/>
      <c r="G316" s="706"/>
      <c r="H316" s="702" t="str">
        <f>$H$13</f>
        <v>Variable Costs</v>
      </c>
      <c r="I316" s="702">
        <f t="shared" ref="I316:N316" si="75">I266</f>
        <v>0.74</v>
      </c>
      <c r="J316" s="702">
        <f t="shared" si="75"/>
        <v>1.46</v>
      </c>
      <c r="K316" s="702">
        <f t="shared" si="75"/>
        <v>4.96</v>
      </c>
      <c r="L316" s="702">
        <f t="shared" si="75"/>
        <v>0.12</v>
      </c>
      <c r="M316" s="702">
        <f t="shared" si="75"/>
        <v>2.4</v>
      </c>
      <c r="N316" s="702">
        <f t="shared" si="75"/>
        <v>9.4</v>
      </c>
      <c r="O316" s="690" t="str">
        <f>$O$13</f>
        <v>Total Cost ($/Acre)</v>
      </c>
      <c r="P316" s="198" t="s">
        <v>417</v>
      </c>
      <c r="Q316" s="532"/>
      <c r="R316" s="532"/>
      <c r="S316" s="532"/>
      <c r="T316" s="532"/>
      <c r="U316" s="121"/>
      <c r="V316" s="121"/>
      <c r="W316" s="121"/>
      <c r="X316" s="121"/>
      <c r="Y316" s="121"/>
      <c r="Z316" s="121"/>
      <c r="AA316" s="121"/>
      <c r="AB316" s="121"/>
      <c r="AC316" s="532"/>
      <c r="AD316" s="532"/>
      <c r="AE316" s="532"/>
      <c r="AF316" s="532"/>
      <c r="AG316" s="532"/>
      <c r="AH316" s="532"/>
      <c r="AI316" s="532"/>
      <c r="AJ316" s="532"/>
      <c r="AK316" s="532"/>
      <c r="AL316" s="532"/>
      <c r="AM316" s="532"/>
      <c r="AN316" s="532"/>
      <c r="AO316" s="532"/>
      <c r="AP316" s="532"/>
      <c r="AQ316" s="532"/>
      <c r="AR316" s="532"/>
      <c r="AS316" s="532"/>
      <c r="AT316" s="532"/>
      <c r="AU316" s="532"/>
      <c r="AV316" s="532"/>
      <c r="AW316" s="532"/>
      <c r="AX316" s="532"/>
      <c r="AY316" s="532"/>
    </row>
    <row r="317" spans="1:51" s="154" customFormat="1" ht="12.75" x14ac:dyDescent="0.2">
      <c r="B317" s="714" t="str">
        <f>$B$14</f>
        <v>Operation</v>
      </c>
      <c r="C317" s="476"/>
      <c r="D317" s="694" t="str">
        <f>$D$14</f>
        <v>Depreciation</v>
      </c>
      <c r="E317" s="694" t="str">
        <f>$E$14</f>
        <v>Interest</v>
      </c>
      <c r="F317" s="694" t="str">
        <f>$F$14</f>
        <v>Taxes, housing, insurance, licenses</v>
      </c>
      <c r="G317" s="690" t="str">
        <f>$G$14</f>
        <v>Total Fixed Costs</v>
      </c>
      <c r="H317" s="694" t="str">
        <f>$H$14</f>
        <v>Repairs</v>
      </c>
      <c r="I317" s="694" t="str">
        <f>$I$14</f>
        <v>Lube Cost</v>
      </c>
      <c r="J317" s="703" t="str">
        <f>$J$14</f>
        <v>Fuel</v>
      </c>
      <c r="K317" s="703">
        <f>K271</f>
        <v>0</v>
      </c>
      <c r="L317" s="703" t="str">
        <f>$L$14</f>
        <v>Labor</v>
      </c>
      <c r="M317" s="703">
        <f>M271</f>
        <v>0</v>
      </c>
      <c r="N317" s="690" t="str">
        <f>$N$14</f>
        <v>Total Variable Costs</v>
      </c>
      <c r="O317" s="713"/>
      <c r="P317" s="590" t="s">
        <v>459</v>
      </c>
      <c r="Q317" s="532"/>
      <c r="R317" s="532"/>
      <c r="S317" s="532"/>
      <c r="T317" s="532"/>
      <c r="U317" s="532"/>
      <c r="V317" s="532"/>
      <c r="W317" s="532"/>
      <c r="X317" s="532"/>
      <c r="Y317" s="532"/>
      <c r="Z317" s="532"/>
      <c r="AA317" s="532"/>
      <c r="AB317" s="532"/>
      <c r="AC317" s="532"/>
      <c r="AD317" s="532"/>
      <c r="AE317" s="532"/>
      <c r="AF317" s="532"/>
      <c r="AG317" s="532"/>
      <c r="AH317" s="532"/>
      <c r="AI317" s="532"/>
      <c r="AJ317" s="532"/>
      <c r="AK317" s="532"/>
      <c r="AL317" s="532"/>
      <c r="AM317" s="532"/>
      <c r="AN317" s="532"/>
      <c r="AO317" s="532"/>
      <c r="AP317" s="532"/>
      <c r="AQ317" s="532"/>
      <c r="AR317" s="532"/>
      <c r="AS317" s="532"/>
      <c r="AT317" s="532"/>
      <c r="AU317" s="532"/>
      <c r="AV317" s="532"/>
      <c r="AW317" s="532"/>
      <c r="AX317" s="532"/>
      <c r="AY317" s="532"/>
    </row>
    <row r="318" spans="1:51" s="154" customFormat="1" ht="40.5" customHeight="1" x14ac:dyDescent="0.2">
      <c r="B318" s="715" t="str">
        <f>B272</f>
        <v>300HP Tractor &amp; 48' spring tooth harrow</v>
      </c>
      <c r="C318" s="475" t="s">
        <v>208</v>
      </c>
      <c r="D318" s="695"/>
      <c r="E318" s="695"/>
      <c r="F318" s="695"/>
      <c r="G318" s="691"/>
      <c r="H318" s="700">
        <f>H272</f>
        <v>0</v>
      </c>
      <c r="I318" s="700">
        <f>I272</f>
        <v>0</v>
      </c>
      <c r="J318" s="474" t="str">
        <f>$J$15</f>
        <v>Fuel Use gal/acre</v>
      </c>
      <c r="K318" s="474" t="str">
        <f>$K$15</f>
        <v>Fuel Cost</v>
      </c>
      <c r="L318" s="474" t="str">
        <f>$L$15</f>
        <v>Labor hrs/acre</v>
      </c>
      <c r="M318" s="474" t="str">
        <f>$M$15</f>
        <v>Labor Cost</v>
      </c>
      <c r="N318" s="691"/>
      <c r="O318" s="691"/>
      <c r="P318" s="532"/>
      <c r="Q318" s="532"/>
      <c r="R318" s="532"/>
      <c r="S318" s="532"/>
      <c r="T318" s="532"/>
      <c r="U318" s="532"/>
      <c r="V318" s="532"/>
      <c r="W318" s="532"/>
      <c r="X318" s="532"/>
      <c r="Y318" s="532"/>
      <c r="Z318" s="532"/>
      <c r="AA318" s="532"/>
      <c r="AB318" s="532"/>
      <c r="AC318" s="532"/>
      <c r="AD318" s="532"/>
      <c r="AE318" s="532"/>
      <c r="AF318" s="532"/>
      <c r="AG318" s="532"/>
      <c r="AH318" s="532"/>
      <c r="AI318" s="532"/>
      <c r="AJ318" s="532"/>
      <c r="AK318" s="532"/>
      <c r="AL318" s="532"/>
      <c r="AM318" s="532"/>
      <c r="AN318" s="532"/>
      <c r="AO318" s="532"/>
      <c r="AP318" s="532"/>
      <c r="AQ318" s="532"/>
      <c r="AR318" s="532"/>
      <c r="AS318" s="532"/>
      <c r="AT318" s="532"/>
      <c r="AU318" s="532"/>
      <c r="AV318" s="532"/>
      <c r="AW318" s="532"/>
      <c r="AX318" s="532"/>
      <c r="AY318" s="532"/>
    </row>
    <row r="319" spans="1:51" s="154" customFormat="1" ht="12.75" x14ac:dyDescent="0.2">
      <c r="B319" s="165" t="str">
        <f>$B$16</f>
        <v>Seasonal operations:</v>
      </c>
      <c r="C319" s="457"/>
      <c r="D319" s="460"/>
      <c r="E319" s="460"/>
      <c r="F319" s="460"/>
      <c r="G319" s="461"/>
      <c r="H319" s="166"/>
      <c r="I319" s="166"/>
      <c r="J319" s="170"/>
      <c r="K319" s="170"/>
      <c r="L319" s="170"/>
      <c r="M319" s="170"/>
      <c r="N319" s="171"/>
      <c r="O319" s="167"/>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c r="AV319" s="532"/>
      <c r="AW319" s="532"/>
      <c r="AX319" s="532"/>
      <c r="AY319" s="532"/>
    </row>
    <row r="320" spans="1:51" ht="15" x14ac:dyDescent="0.25">
      <c r="A320" s="532"/>
      <c r="B320" s="164" t="str">
        <f>$B$17</f>
        <v>Self-propelled sprayer</v>
      </c>
      <c r="C320" s="459">
        <v>2</v>
      </c>
      <c r="D320" s="173">
        <f>$D$17*$C320</f>
        <v>3.64</v>
      </c>
      <c r="E320" s="173">
        <f>$E$17*$C320</f>
        <v>3.76</v>
      </c>
      <c r="F320" s="173">
        <f>$F$17*$C320</f>
        <v>1.86</v>
      </c>
      <c r="G320" s="464">
        <f>SUM(D320:F320)</f>
        <v>9.26</v>
      </c>
      <c r="H320" s="173">
        <f>$H$17*$C320</f>
        <v>0.88</v>
      </c>
      <c r="I320" s="173">
        <f>$I$17*$C320</f>
        <v>0.04</v>
      </c>
      <c r="J320" s="174">
        <f>$J$17*$C320</f>
        <v>0.08</v>
      </c>
      <c r="K320" s="173">
        <f>$K$17*$C320</f>
        <v>0.28000000000000003</v>
      </c>
      <c r="L320" s="174">
        <f>$L$17*$C320</f>
        <v>0.04</v>
      </c>
      <c r="M320" s="175">
        <f>$M$17*$C320</f>
        <v>0.8</v>
      </c>
      <c r="N320" s="239">
        <f>SUM(H320,I320,K320,M320)</f>
        <v>2</v>
      </c>
      <c r="O320" s="176"/>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c r="AM320" s="532"/>
      <c r="AN320" s="532"/>
      <c r="AO320" s="532"/>
      <c r="AP320" s="532"/>
      <c r="AQ320" s="532"/>
      <c r="AR320" s="532"/>
      <c r="AS320" s="532"/>
      <c r="AT320" s="532"/>
      <c r="AU320" s="532"/>
      <c r="AV320" s="532"/>
      <c r="AW320" s="532"/>
      <c r="AX320" s="532"/>
      <c r="AY320" s="532"/>
    </row>
    <row r="321" spans="1:51" ht="15" x14ac:dyDescent="0.25">
      <c r="A321" s="532"/>
      <c r="B321" s="164" t="str">
        <f>$B$18</f>
        <v>300HP Tractor &amp; 90' sprayer</v>
      </c>
      <c r="C321" s="459">
        <v>0</v>
      </c>
      <c r="D321" s="173">
        <f>$D$18*$C321</f>
        <v>0</v>
      </c>
      <c r="E321" s="173">
        <f>$E$18*$C321</f>
        <v>0</v>
      </c>
      <c r="F321" s="173">
        <f>$F$18*$C321</f>
        <v>0</v>
      </c>
      <c r="G321" s="464">
        <f>SUM(D321:F321)</f>
        <v>0</v>
      </c>
      <c r="H321" s="173">
        <f>$H$18*$C321</f>
        <v>0</v>
      </c>
      <c r="I321" s="173">
        <f>$I$18*$C321</f>
        <v>0</v>
      </c>
      <c r="J321" s="174">
        <f>$J$18*$C321</f>
        <v>0</v>
      </c>
      <c r="K321" s="173">
        <f>$K$18*$C321</f>
        <v>0</v>
      </c>
      <c r="L321" s="174">
        <f>$L$18*$C321</f>
        <v>0</v>
      </c>
      <c r="M321" s="175">
        <f>$M$18*$C321</f>
        <v>0</v>
      </c>
      <c r="N321" s="239">
        <f>SUM(H321,I321,K321,M321)</f>
        <v>0</v>
      </c>
      <c r="O321" s="176"/>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c r="AM321" s="532"/>
      <c r="AN321" s="532"/>
      <c r="AO321" s="532"/>
      <c r="AP321" s="532"/>
      <c r="AQ321" s="532"/>
      <c r="AR321" s="532"/>
      <c r="AS321" s="532"/>
      <c r="AT321" s="532"/>
      <c r="AU321" s="532"/>
      <c r="AV321" s="532"/>
      <c r="AW321" s="532"/>
      <c r="AX321" s="532"/>
      <c r="AY321" s="532"/>
    </row>
    <row r="322" spans="1:51" s="154" customFormat="1" ht="15" x14ac:dyDescent="0.25">
      <c r="B322" s="156" t="str">
        <f>$B$19</f>
        <v>300HP Tractor &amp; 48' rodweeder</v>
      </c>
      <c r="C322" s="459">
        <v>0</v>
      </c>
      <c r="D322" s="173">
        <f>$D$19*$C322</f>
        <v>0</v>
      </c>
      <c r="E322" s="173">
        <f>$E$19*$C322</f>
        <v>0</v>
      </c>
      <c r="F322" s="173">
        <f>$F$19*$C322</f>
        <v>0</v>
      </c>
      <c r="G322" s="464">
        <f>SUM(D322:F322)</f>
        <v>0</v>
      </c>
      <c r="H322" s="173">
        <f>$H$19*$C322</f>
        <v>0</v>
      </c>
      <c r="I322" s="173">
        <f>$I$19*$C322</f>
        <v>0</v>
      </c>
      <c r="J322" s="174">
        <f>$J$19*$C322</f>
        <v>0</v>
      </c>
      <c r="K322" s="173">
        <f>$K$19*$C322</f>
        <v>0</v>
      </c>
      <c r="L322" s="174">
        <f>$L$19*$C322</f>
        <v>0</v>
      </c>
      <c r="M322" s="175">
        <f>$M$19*$C322</f>
        <v>0</v>
      </c>
      <c r="N322" s="239">
        <f>SUM(H322,I322,K322,M322)</f>
        <v>0</v>
      </c>
      <c r="O322" s="176"/>
      <c r="P322" s="532"/>
      <c r="Q322" s="532"/>
      <c r="R322" s="532"/>
      <c r="S322" s="532"/>
      <c r="T322" s="532"/>
      <c r="U322" s="532"/>
      <c r="V322" s="532"/>
      <c r="W322" s="532"/>
      <c r="X322" s="532"/>
      <c r="Y322" s="532"/>
      <c r="Z322" s="532"/>
      <c r="AA322" s="532"/>
      <c r="AB322" s="532"/>
      <c r="AC322" s="532"/>
      <c r="AD322" s="532"/>
      <c r="AE322" s="532"/>
      <c r="AF322" s="532"/>
      <c r="AG322" s="532"/>
      <c r="AH322" s="532"/>
      <c r="AI322" s="532"/>
      <c r="AJ322" s="532"/>
      <c r="AK322" s="532"/>
      <c r="AL322" s="532"/>
      <c r="AM322" s="532"/>
      <c r="AN322" s="532"/>
      <c r="AO322" s="532"/>
      <c r="AP322" s="532"/>
      <c r="AQ322" s="532"/>
      <c r="AR322" s="532"/>
      <c r="AS322" s="532"/>
      <c r="AT322" s="532"/>
      <c r="AU322" s="532"/>
      <c r="AV322" s="532"/>
      <c r="AW322" s="532"/>
      <c r="AX322" s="532"/>
      <c r="AY322" s="532"/>
    </row>
    <row r="323" spans="1:51" s="154" customFormat="1" ht="15" x14ac:dyDescent="0.25">
      <c r="B323" s="164" t="str">
        <f>$B$20</f>
        <v>300HP Tractor &amp; 26' shredder</v>
      </c>
      <c r="C323" s="459">
        <v>0</v>
      </c>
      <c r="D323" s="173">
        <f>$D$20*$C323</f>
        <v>0</v>
      </c>
      <c r="E323" s="173">
        <f>$E$20*$C323</f>
        <v>0</v>
      </c>
      <c r="F323" s="173">
        <f>$F$20*$C323</f>
        <v>0</v>
      </c>
      <c r="G323" s="464">
        <f>SUM(D323:F323)</f>
        <v>0</v>
      </c>
      <c r="H323" s="173">
        <f>$H$20*$C323</f>
        <v>0</v>
      </c>
      <c r="I323" s="173">
        <f>$I$20*$C323</f>
        <v>0</v>
      </c>
      <c r="J323" s="174">
        <f>$J$20*$C323</f>
        <v>0</v>
      </c>
      <c r="K323" s="173">
        <f>$K$20*$C323</f>
        <v>0</v>
      </c>
      <c r="L323" s="174">
        <f>$L$20*$C323</f>
        <v>0</v>
      </c>
      <c r="M323" s="175">
        <f>$M$20*$C323</f>
        <v>0</v>
      </c>
      <c r="N323" s="239">
        <f>SUM(H323,I323,K323,M323)</f>
        <v>0</v>
      </c>
      <c r="O323" s="176"/>
      <c r="P323" s="532"/>
      <c r="Q323" s="532"/>
      <c r="R323" s="532"/>
      <c r="S323" s="532"/>
      <c r="T323" s="532"/>
      <c r="U323" s="532"/>
      <c r="V323" s="532"/>
      <c r="W323" s="532"/>
      <c r="X323" s="532"/>
      <c r="Y323" s="532"/>
      <c r="Z323" s="532"/>
      <c r="AA323" s="532"/>
      <c r="AB323" s="532"/>
      <c r="AC323" s="532"/>
      <c r="AD323" s="532"/>
      <c r="AE323" s="532"/>
      <c r="AF323" s="532"/>
      <c r="AG323" s="532"/>
      <c r="AH323" s="532"/>
      <c r="AI323" s="532"/>
      <c r="AJ323" s="532"/>
      <c r="AK323" s="532"/>
      <c r="AL323" s="532"/>
      <c r="AM323" s="532"/>
      <c r="AN323" s="532"/>
      <c r="AO323" s="532"/>
      <c r="AP323" s="532"/>
      <c r="AQ323" s="532"/>
      <c r="AR323" s="532"/>
      <c r="AS323" s="532"/>
      <c r="AT323" s="532"/>
      <c r="AU323" s="532"/>
      <c r="AV323" s="532"/>
      <c r="AW323" s="532"/>
      <c r="AX323" s="532"/>
      <c r="AY323" s="532"/>
    </row>
    <row r="324" spans="1:51" s="154" customFormat="1" ht="15" x14ac:dyDescent="0.25">
      <c r="B324" s="164" t="str">
        <f>$B$21</f>
        <v>300HP Tractor &amp; 34' tandem disk</v>
      </c>
      <c r="C324" s="459">
        <v>0</v>
      </c>
      <c r="D324" s="173">
        <f>$D$21*$C324</f>
        <v>0</v>
      </c>
      <c r="E324" s="173">
        <f>$E$21*$C324</f>
        <v>0</v>
      </c>
      <c r="F324" s="173">
        <f>$F$21*$C324</f>
        <v>0</v>
      </c>
      <c r="G324" s="464">
        <f t="shared" ref="G324:G332" si="76">SUM(D324:F324)</f>
        <v>0</v>
      </c>
      <c r="H324" s="173">
        <f>$H$21*$C324</f>
        <v>0</v>
      </c>
      <c r="I324" s="173">
        <f>$I$21*$C324</f>
        <v>0</v>
      </c>
      <c r="J324" s="174">
        <f>$J$21*$C324</f>
        <v>0</v>
      </c>
      <c r="K324" s="173">
        <f>$K$21*$C324</f>
        <v>0</v>
      </c>
      <c r="L324" s="174">
        <f>$L$21*$C324</f>
        <v>0</v>
      </c>
      <c r="M324" s="175">
        <f>$M$21*$C324</f>
        <v>0</v>
      </c>
      <c r="N324" s="239">
        <f>SUM(H324,I324,K324,M324)</f>
        <v>0</v>
      </c>
      <c r="O324" s="176"/>
      <c r="P324" s="532"/>
      <c r="Q324" s="532"/>
      <c r="R324" s="532"/>
      <c r="S324" s="532"/>
      <c r="T324" s="532"/>
      <c r="U324" s="532"/>
      <c r="V324" s="532"/>
      <c r="W324" s="532"/>
      <c r="X324" s="532"/>
      <c r="Y324" s="532"/>
      <c r="Z324" s="532"/>
      <c r="AA324" s="532"/>
      <c r="AB324" s="532"/>
      <c r="AC324" s="532"/>
      <c r="AD324" s="532"/>
      <c r="AE324" s="532"/>
      <c r="AF324" s="532"/>
      <c r="AG324" s="532"/>
      <c r="AH324" s="532"/>
      <c r="AI324" s="532"/>
      <c r="AJ324" s="532"/>
      <c r="AK324" s="532"/>
      <c r="AL324" s="532"/>
      <c r="AM324" s="532"/>
      <c r="AN324" s="532"/>
      <c r="AO324" s="532"/>
      <c r="AP324" s="532"/>
      <c r="AQ324" s="532"/>
      <c r="AR324" s="532"/>
      <c r="AS324" s="532"/>
      <c r="AT324" s="532"/>
      <c r="AU324" s="532"/>
      <c r="AV324" s="532"/>
      <c r="AW324" s="532"/>
      <c r="AX324" s="532"/>
      <c r="AY324" s="532"/>
    </row>
    <row r="325" spans="1:51" s="154" customFormat="1" ht="15" x14ac:dyDescent="0.25">
      <c r="B325" s="156" t="str">
        <f>$B$23</f>
        <v>300HP Tractor &amp; 35' chisel plow</v>
      </c>
      <c r="C325" s="459">
        <v>1</v>
      </c>
      <c r="D325" s="173">
        <f>$D$23*$C325</f>
        <v>2.17</v>
      </c>
      <c r="E325" s="173">
        <f>$E$23*$C325</f>
        <v>1.41</v>
      </c>
      <c r="F325" s="173">
        <f>$F$23*$C325</f>
        <v>0.24</v>
      </c>
      <c r="G325" s="464">
        <f t="shared" si="76"/>
        <v>3.8200000000000003</v>
      </c>
      <c r="H325" s="173">
        <f>$H$23*$C325</f>
        <v>0.79</v>
      </c>
      <c r="I325" s="173">
        <f>$I$23*$C325</f>
        <v>0.48</v>
      </c>
      <c r="J325" s="174">
        <f>$J$23*$C325</f>
        <v>0.95</v>
      </c>
      <c r="K325" s="173">
        <f>$K$23*$C325</f>
        <v>3.23</v>
      </c>
      <c r="L325" s="174">
        <f>$L$23*$C325</f>
        <v>0.08</v>
      </c>
      <c r="M325" s="175">
        <f>$M$23*$C325</f>
        <v>1.6</v>
      </c>
      <c r="N325" s="239">
        <f t="shared" ref="N325:N332" si="77">SUM(H325,I325,K325,M325)</f>
        <v>6.1</v>
      </c>
      <c r="O325" s="176"/>
      <c r="P325" s="532"/>
      <c r="Q325" s="532"/>
      <c r="R325" s="532"/>
      <c r="S325" s="532"/>
      <c r="T325" s="532"/>
      <c r="U325" s="532"/>
      <c r="V325" s="532"/>
      <c r="W325" s="532"/>
      <c r="X325" s="532"/>
      <c r="Y325" s="532"/>
      <c r="Z325" s="532"/>
      <c r="AA325" s="532"/>
      <c r="AB325" s="532"/>
      <c r="AC325" s="532"/>
      <c r="AD325" s="532"/>
      <c r="AE325" s="532"/>
      <c r="AF325" s="532"/>
      <c r="AG325" s="532"/>
      <c r="AH325" s="532"/>
      <c r="AI325" s="532"/>
      <c r="AJ325" s="532"/>
      <c r="AK325" s="532"/>
      <c r="AL325" s="532"/>
      <c r="AM325" s="532"/>
      <c r="AN325" s="532"/>
      <c r="AO325" s="532"/>
      <c r="AP325" s="532"/>
      <c r="AQ325" s="532"/>
      <c r="AR325" s="532"/>
      <c r="AS325" s="532"/>
      <c r="AT325" s="532"/>
      <c r="AU325" s="532"/>
      <c r="AV325" s="532"/>
      <c r="AW325" s="532"/>
      <c r="AX325" s="532"/>
      <c r="AY325" s="532"/>
    </row>
    <row r="326" spans="1:51" ht="15" x14ac:dyDescent="0.25">
      <c r="A326" s="532"/>
      <c r="B326" s="164" t="str">
        <f>$B$22</f>
        <v>300HP Tractor &amp; 36' cultiweeder</v>
      </c>
      <c r="C326" s="459">
        <v>1</v>
      </c>
      <c r="D326" s="173">
        <f>$D$22*$C326</f>
        <v>1.42</v>
      </c>
      <c r="E326" s="173">
        <f>$E$22*$C326</f>
        <v>0.92</v>
      </c>
      <c r="F326" s="173">
        <f>$F$22*$C326</f>
        <v>0.15</v>
      </c>
      <c r="G326" s="464">
        <f>SUM(D326:F326)</f>
        <v>2.4899999999999998</v>
      </c>
      <c r="H326" s="173">
        <f>$H$22*$C326</f>
        <v>0.41</v>
      </c>
      <c r="I326" s="173">
        <f>$I$22*$C326</f>
        <v>0.28000000000000003</v>
      </c>
      <c r="J326" s="174">
        <f>$J$22*$C326</f>
        <v>0.55000000000000004</v>
      </c>
      <c r="K326" s="173">
        <f>$K$22*$C326</f>
        <v>1.87</v>
      </c>
      <c r="L326" s="174">
        <f>$L$22*$C326</f>
        <v>0.04</v>
      </c>
      <c r="M326" s="175">
        <f>$M$22*$C326</f>
        <v>0.8</v>
      </c>
      <c r="N326" s="239">
        <f>SUM(H326,I326,K326,M326)</f>
        <v>3.3600000000000003</v>
      </c>
      <c r="O326" s="176"/>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c r="AM326" s="532"/>
      <c r="AN326" s="532"/>
      <c r="AO326" s="532"/>
      <c r="AP326" s="532"/>
      <c r="AQ326" s="532"/>
      <c r="AR326" s="532"/>
      <c r="AS326" s="532"/>
      <c r="AT326" s="532"/>
      <c r="AU326" s="532"/>
      <c r="AV326" s="532"/>
      <c r="AW326" s="532"/>
      <c r="AX326" s="532"/>
      <c r="AY326" s="532"/>
    </row>
    <row r="327" spans="1:51" s="154" customFormat="1" ht="15" x14ac:dyDescent="0.25">
      <c r="B327" s="156" t="str">
        <f>$B$24</f>
        <v>300HP Tractor &amp; 36' cultivator</v>
      </c>
      <c r="C327" s="459">
        <v>0</v>
      </c>
      <c r="D327" s="173">
        <f>$D$24*$C327</f>
        <v>0</v>
      </c>
      <c r="E327" s="173">
        <f>$E$24*$C327</f>
        <v>0</v>
      </c>
      <c r="F327" s="173">
        <f>$F$24*$C327</f>
        <v>0</v>
      </c>
      <c r="G327" s="464">
        <f t="shared" si="76"/>
        <v>0</v>
      </c>
      <c r="H327" s="173">
        <f>$H$24*$C327</f>
        <v>0</v>
      </c>
      <c r="I327" s="173">
        <f>$I$24*$C327</f>
        <v>0</v>
      </c>
      <c r="J327" s="174">
        <f>$J$24*$C327</f>
        <v>0</v>
      </c>
      <c r="K327" s="173">
        <f>$K$24*$C327</f>
        <v>0</v>
      </c>
      <c r="L327" s="174">
        <f>$L$24*$C327</f>
        <v>0</v>
      </c>
      <c r="M327" s="175">
        <f>$M$24*$C327</f>
        <v>0</v>
      </c>
      <c r="N327" s="239">
        <f t="shared" si="77"/>
        <v>0</v>
      </c>
      <c r="O327" s="176"/>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c r="AM327" s="532"/>
      <c r="AN327" s="532"/>
      <c r="AO327" s="532"/>
      <c r="AP327" s="532"/>
      <c r="AQ327" s="532"/>
      <c r="AR327" s="532"/>
      <c r="AS327" s="532"/>
      <c r="AT327" s="532"/>
      <c r="AU327" s="532"/>
      <c r="AV327" s="532"/>
      <c r="AW327" s="532"/>
      <c r="AX327" s="532"/>
      <c r="AY327" s="532"/>
    </row>
    <row r="328" spans="1:51" s="154" customFormat="1" ht="15" x14ac:dyDescent="0.25">
      <c r="B328" s="156" t="str">
        <f>$B$25</f>
        <v>300HP Tractor &amp; 48' spring tooth harrow</v>
      </c>
      <c r="C328" s="459">
        <v>0</v>
      </c>
      <c r="D328" s="173">
        <f>$D$25*$C328</f>
        <v>0</v>
      </c>
      <c r="E328" s="173">
        <f>$E$25*$C328</f>
        <v>0</v>
      </c>
      <c r="F328" s="173">
        <f>$F$25*$C328</f>
        <v>0</v>
      </c>
      <c r="G328" s="464">
        <f t="shared" si="76"/>
        <v>0</v>
      </c>
      <c r="H328" s="173">
        <f>$H$25*$C328</f>
        <v>0</v>
      </c>
      <c r="I328" s="173">
        <f>$I$25*$C328</f>
        <v>0</v>
      </c>
      <c r="J328" s="174">
        <f>$J$25*$C328</f>
        <v>0</v>
      </c>
      <c r="K328" s="173">
        <f>$K$25*$C328</f>
        <v>0</v>
      </c>
      <c r="L328" s="174">
        <f>$L$25*$C328</f>
        <v>0</v>
      </c>
      <c r="M328" s="175">
        <f>$M$25*$C328</f>
        <v>0</v>
      </c>
      <c r="N328" s="239">
        <f t="shared" si="77"/>
        <v>0</v>
      </c>
      <c r="O328" s="176"/>
      <c r="P328" s="532"/>
      <c r="Q328" s="532"/>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c r="AM328" s="532"/>
      <c r="AN328" s="532"/>
      <c r="AO328" s="532"/>
      <c r="AP328" s="532"/>
      <c r="AQ328" s="532"/>
      <c r="AR328" s="532"/>
      <c r="AS328" s="532"/>
      <c r="AT328" s="532"/>
      <c r="AU328" s="532"/>
      <c r="AV328" s="532"/>
      <c r="AW328" s="532"/>
      <c r="AX328" s="532"/>
      <c r="AY328" s="532"/>
    </row>
    <row r="329" spans="1:51" s="154" customFormat="1" ht="15" x14ac:dyDescent="0.25">
      <c r="B329" s="156" t="str">
        <f>$B$26</f>
        <v>300HP Tractor &amp; 36' grain drill</v>
      </c>
      <c r="C329" s="459">
        <v>1</v>
      </c>
      <c r="D329" s="173">
        <f>$D$26*$C329</f>
        <v>1.54</v>
      </c>
      <c r="E329" s="173">
        <f>$E$26*$C329</f>
        <v>1.4</v>
      </c>
      <c r="F329" s="173">
        <f>$F$26*$C329</f>
        <v>0.49</v>
      </c>
      <c r="G329" s="464">
        <f t="shared" si="76"/>
        <v>3.4299999999999997</v>
      </c>
      <c r="H329" s="173">
        <f>$H$26*$C329</f>
        <v>1.02</v>
      </c>
      <c r="I329" s="173">
        <f>$I$26*$C329</f>
        <v>0.56999999999999995</v>
      </c>
      <c r="J329" s="174">
        <f>$J$26*$C329</f>
        <v>1.1200000000000001</v>
      </c>
      <c r="K329" s="173">
        <f>$K$26*$C329</f>
        <v>3.81</v>
      </c>
      <c r="L329" s="174">
        <f>$L$26*$C329</f>
        <v>0.09</v>
      </c>
      <c r="M329" s="175">
        <f>$M$26*$C329</f>
        <v>1.8</v>
      </c>
      <c r="N329" s="239">
        <f t="shared" si="77"/>
        <v>7.2</v>
      </c>
      <c r="O329" s="176"/>
      <c r="P329" s="532"/>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c r="AM329" s="532"/>
      <c r="AN329" s="532"/>
      <c r="AO329" s="532"/>
      <c r="AP329" s="532"/>
      <c r="AQ329" s="532"/>
      <c r="AR329" s="532"/>
      <c r="AS329" s="532"/>
      <c r="AT329" s="532"/>
      <c r="AU329" s="532"/>
      <c r="AV329" s="532"/>
      <c r="AW329" s="532"/>
      <c r="AX329" s="532"/>
      <c r="AY329" s="532"/>
    </row>
    <row r="330" spans="1:51" s="154" customFormat="1" ht="15" x14ac:dyDescent="0.25">
      <c r="B330" s="168" t="str">
        <f>$B$27</f>
        <v>Combine &amp; 30' header  *4 mph harvest speed*</v>
      </c>
      <c r="C330" s="459">
        <v>1</v>
      </c>
      <c r="D330" s="173">
        <f>$D$27*$C330</f>
        <v>2.48</v>
      </c>
      <c r="E330" s="173">
        <f>$E$27*$C330</f>
        <v>2.21</v>
      </c>
      <c r="F330" s="173">
        <f>$F$27*$C330</f>
        <v>0.92</v>
      </c>
      <c r="G330" s="464">
        <f t="shared" si="76"/>
        <v>5.6099999999999994</v>
      </c>
      <c r="H330" s="173">
        <f>$H$27*$C330</f>
        <v>2.29</v>
      </c>
      <c r="I330" s="173">
        <f>$I$27*$C330</f>
        <v>0.27</v>
      </c>
      <c r="J330" s="174">
        <f>$J$27*$C330</f>
        <v>0.52</v>
      </c>
      <c r="K330" s="173">
        <f>$K$27*$C330</f>
        <v>1.77</v>
      </c>
      <c r="L330" s="174">
        <f>$L$27*$C330</f>
        <v>0.09</v>
      </c>
      <c r="M330" s="175">
        <f>$M$27*$C330</f>
        <v>1.8</v>
      </c>
      <c r="N330" s="239">
        <f t="shared" si="77"/>
        <v>6.13</v>
      </c>
      <c r="O330" s="176"/>
      <c r="P330" s="533"/>
      <c r="Q330" s="532"/>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c r="AM330" s="532"/>
      <c r="AN330" s="532"/>
      <c r="AO330" s="532"/>
      <c r="AP330" s="532"/>
      <c r="AQ330" s="532"/>
      <c r="AR330" s="532"/>
      <c r="AS330" s="532"/>
      <c r="AT330" s="532"/>
      <c r="AU330" s="532"/>
      <c r="AV330" s="532"/>
      <c r="AW330" s="532"/>
      <c r="AX330" s="532"/>
      <c r="AY330" s="532"/>
    </row>
    <row r="331" spans="1:51" ht="15" x14ac:dyDescent="0.25">
      <c r="A331" s="532"/>
      <c r="B331" s="168" t="str">
        <f>$B$28</f>
        <v>Combine &amp; 30' header *3 mph harvest speed*</v>
      </c>
      <c r="C331" s="459">
        <v>0</v>
      </c>
      <c r="D331" s="173">
        <f>$D$28*$C331</f>
        <v>0</v>
      </c>
      <c r="E331" s="173">
        <f>$E$28*$C331</f>
        <v>0</v>
      </c>
      <c r="F331" s="173">
        <f>$F$28*$C331</f>
        <v>0</v>
      </c>
      <c r="G331" s="464">
        <f>SUM(D331:F331)</f>
        <v>0</v>
      </c>
      <c r="H331" s="173">
        <f>$H$28*$C331</f>
        <v>0</v>
      </c>
      <c r="I331" s="173">
        <f>$I$28*$C331</f>
        <v>0</v>
      </c>
      <c r="J331" s="174">
        <f>$J$28*$C331</f>
        <v>0</v>
      </c>
      <c r="K331" s="173">
        <f>$K$28*$C331</f>
        <v>0</v>
      </c>
      <c r="L331" s="174">
        <f>$L$28*$C331</f>
        <v>0</v>
      </c>
      <c r="M331" s="175">
        <f>$M$28*$C331</f>
        <v>0</v>
      </c>
      <c r="N331" s="239">
        <f t="shared" si="77"/>
        <v>0</v>
      </c>
      <c r="O331" s="176"/>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c r="AM331" s="532"/>
      <c r="AN331" s="532"/>
      <c r="AO331" s="532"/>
      <c r="AP331" s="532"/>
      <c r="AQ331" s="532"/>
      <c r="AR331" s="532"/>
      <c r="AS331" s="532"/>
      <c r="AT331" s="532"/>
      <c r="AU331" s="532"/>
      <c r="AV331" s="532"/>
      <c r="AW331" s="532"/>
      <c r="AX331" s="532"/>
      <c r="AY331" s="532"/>
    </row>
    <row r="332" spans="1:51" s="154" customFormat="1" ht="15" x14ac:dyDescent="0.25">
      <c r="B332" s="168" t="str">
        <f>$B$29</f>
        <v>300HP Tractor &amp; Bankout wagon</v>
      </c>
      <c r="C332" s="459">
        <v>1</v>
      </c>
      <c r="D332" s="173">
        <f>$D$29*$C332</f>
        <v>0.9163</v>
      </c>
      <c r="E332" s="173">
        <f>$E$29*$C332</f>
        <v>0.53899999999999992</v>
      </c>
      <c r="F332" s="173">
        <f>$F$29*$C332</f>
        <v>8.4699999999999998E-2</v>
      </c>
      <c r="G332" s="464">
        <f t="shared" si="76"/>
        <v>1.5399999999999998</v>
      </c>
      <c r="H332" s="173">
        <f>$H$29*$C332</f>
        <v>0.40810000000000002</v>
      </c>
      <c r="I332" s="173">
        <f>$I$29*$C332</f>
        <v>0.25</v>
      </c>
      <c r="J332" s="174">
        <f>$J$29*$C332</f>
        <v>0.49</v>
      </c>
      <c r="K332" s="173">
        <f>$K$29*$C332</f>
        <v>1.67</v>
      </c>
      <c r="L332" s="174">
        <f>$L$29*$C332</f>
        <v>0.09</v>
      </c>
      <c r="M332" s="175">
        <f>$M$29*$C332</f>
        <v>1.8</v>
      </c>
      <c r="N332" s="239">
        <f t="shared" si="77"/>
        <v>4.1280999999999999</v>
      </c>
      <c r="O332" s="176"/>
      <c r="P332" s="532"/>
      <c r="Q332" s="532"/>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c r="AM332" s="532"/>
      <c r="AN332" s="532"/>
      <c r="AO332" s="532"/>
      <c r="AP332" s="532"/>
      <c r="AQ332" s="532"/>
      <c r="AR332" s="532"/>
      <c r="AS332" s="532"/>
      <c r="AT332" s="532"/>
      <c r="AU332" s="532"/>
      <c r="AV332" s="532"/>
      <c r="AW332" s="532"/>
      <c r="AX332" s="532"/>
      <c r="AY332" s="532"/>
    </row>
    <row r="333" spans="1:51" s="154" customFormat="1" ht="15" x14ac:dyDescent="0.25">
      <c r="B333" s="255" t="str">
        <f>$B$30</f>
        <v>Annual Costs:</v>
      </c>
      <c r="C333" s="454"/>
      <c r="D333" s="268"/>
      <c r="E333" s="268"/>
      <c r="F333" s="268"/>
      <c r="G333" s="465"/>
      <c r="H333" s="269"/>
      <c r="I333" s="269"/>
      <c r="J333" s="270"/>
      <c r="K333" s="269"/>
      <c r="L333" s="270"/>
      <c r="M333" s="271"/>
      <c r="N333" s="272"/>
      <c r="O333" s="273"/>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row>
    <row r="334" spans="1:51" s="154" customFormat="1" ht="15" x14ac:dyDescent="0.25">
      <c r="B334" s="261" t="str">
        <f>$B$31</f>
        <v>Tandem axle truck</v>
      </c>
      <c r="C334" s="458"/>
      <c r="D334" s="274">
        <f>$D$31</f>
        <v>0.39</v>
      </c>
      <c r="E334" s="274">
        <f>$E$31</f>
        <v>0.44</v>
      </c>
      <c r="F334" s="274">
        <f>$F$31</f>
        <v>0.72</v>
      </c>
      <c r="G334" s="466">
        <f>$G$31</f>
        <v>1.55</v>
      </c>
      <c r="H334" s="274">
        <f>$H$31</f>
        <v>0.56999999999999995</v>
      </c>
      <c r="I334" s="274">
        <f>$I$31</f>
        <v>0.04</v>
      </c>
      <c r="J334" s="275">
        <f>$J$31</f>
        <v>7.0000000000000007E-2</v>
      </c>
      <c r="K334" s="274">
        <f>$K$31</f>
        <v>0.24</v>
      </c>
      <c r="L334" s="275">
        <f>$L$31</f>
        <v>0.03</v>
      </c>
      <c r="M334" s="266">
        <f>$M$31</f>
        <v>0.51</v>
      </c>
      <c r="N334" s="276">
        <f t="shared" ref="N334:N339" si="78">SUM(H334,I334,K334,M334)</f>
        <v>1.3599999999999999</v>
      </c>
      <c r="O334" s="277"/>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row>
    <row r="335" spans="1:51" s="154" customFormat="1" ht="15" x14ac:dyDescent="0.25">
      <c r="B335" s="261" t="str">
        <f>$B$32</f>
        <v>Tandem axle truck</v>
      </c>
      <c r="C335" s="458"/>
      <c r="D335" s="274">
        <f>$D$32</f>
        <v>0.39</v>
      </c>
      <c r="E335" s="274">
        <f>$E$32</f>
        <v>0.44</v>
      </c>
      <c r="F335" s="274">
        <f>$F$32</f>
        <v>0.72</v>
      </c>
      <c r="G335" s="466">
        <f>$G$32</f>
        <v>1.55</v>
      </c>
      <c r="H335" s="274">
        <f>$H$32</f>
        <v>0.56999999999999995</v>
      </c>
      <c r="I335" s="274">
        <f>$I$32</f>
        <v>0.04</v>
      </c>
      <c r="J335" s="275">
        <f>$J$32</f>
        <v>7.0000000000000007E-2</v>
      </c>
      <c r="K335" s="274">
        <f>$K$32</f>
        <v>0.24</v>
      </c>
      <c r="L335" s="275">
        <f>$L$32</f>
        <v>0.03</v>
      </c>
      <c r="M335" s="266">
        <f>$M$32</f>
        <v>0.51</v>
      </c>
      <c r="N335" s="276">
        <f t="shared" si="78"/>
        <v>1.3599999999999999</v>
      </c>
      <c r="O335" s="277"/>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c r="AM335" s="532"/>
      <c r="AN335" s="532"/>
      <c r="AO335" s="532"/>
      <c r="AP335" s="532"/>
      <c r="AQ335" s="532"/>
      <c r="AR335" s="532"/>
      <c r="AS335" s="532"/>
      <c r="AT335" s="532"/>
      <c r="AU335" s="532"/>
      <c r="AV335" s="532"/>
      <c r="AW335" s="532"/>
      <c r="AX335" s="532"/>
      <c r="AY335" s="532"/>
    </row>
    <row r="336" spans="1:51" s="154" customFormat="1" ht="15" x14ac:dyDescent="0.25">
      <c r="B336" s="261" t="str">
        <f>$B$33</f>
        <v>2-ton truck</v>
      </c>
      <c r="C336" s="458"/>
      <c r="D336" s="274">
        <f>$D$33</f>
        <v>0.32</v>
      </c>
      <c r="E336" s="274">
        <f>$E$33</f>
        <v>0.26</v>
      </c>
      <c r="F336" s="274">
        <f>$F$33</f>
        <v>0.42</v>
      </c>
      <c r="G336" s="466">
        <f>$G$33</f>
        <v>1</v>
      </c>
      <c r="H336" s="274">
        <f>$H$33</f>
        <v>0.28999999999999998</v>
      </c>
      <c r="I336" s="274">
        <f>$I$33</f>
        <v>0.03</v>
      </c>
      <c r="J336" s="275">
        <f>$J$33</f>
        <v>0.05</v>
      </c>
      <c r="K336" s="274">
        <f>$K$33</f>
        <v>0.17</v>
      </c>
      <c r="L336" s="275">
        <f>$L$33</f>
        <v>0.02</v>
      </c>
      <c r="M336" s="266">
        <f>$M$33</f>
        <v>0.34</v>
      </c>
      <c r="N336" s="276">
        <f t="shared" si="78"/>
        <v>0.83000000000000007</v>
      </c>
      <c r="O336" s="277"/>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c r="AM336" s="532"/>
      <c r="AN336" s="532"/>
      <c r="AO336" s="532"/>
      <c r="AP336" s="532"/>
      <c r="AQ336" s="532"/>
      <c r="AR336" s="532"/>
      <c r="AS336" s="532"/>
      <c r="AT336" s="532"/>
      <c r="AU336" s="532"/>
      <c r="AV336" s="532"/>
      <c r="AW336" s="532"/>
      <c r="AX336" s="532"/>
      <c r="AY336" s="532"/>
    </row>
    <row r="337" spans="1:51" s="154" customFormat="1" ht="15" x14ac:dyDescent="0.25">
      <c r="B337" s="261" t="str">
        <f>$B$34</f>
        <v>Trap wagon</v>
      </c>
      <c r="C337" s="458"/>
      <c r="D337" s="274">
        <f>$D$34</f>
        <v>0.35</v>
      </c>
      <c r="E337" s="274">
        <f>$E$34</f>
        <v>0.16</v>
      </c>
      <c r="F337" s="274">
        <f>$F$34</f>
        <v>0.26</v>
      </c>
      <c r="G337" s="466">
        <f>$G$34</f>
        <v>0.77</v>
      </c>
      <c r="H337" s="274">
        <f>$H$34</f>
        <v>0.12</v>
      </c>
      <c r="I337" s="274">
        <f>$I$34</f>
        <v>0.03</v>
      </c>
      <c r="J337" s="275">
        <f>$J$34</f>
        <v>0.05</v>
      </c>
      <c r="K337" s="274">
        <f>$K$34</f>
        <v>0.17</v>
      </c>
      <c r="L337" s="275">
        <f>$L$34</f>
        <v>0.02</v>
      </c>
      <c r="M337" s="266">
        <f>$M$34</f>
        <v>0.34</v>
      </c>
      <c r="N337" s="276">
        <f t="shared" si="78"/>
        <v>0.66</v>
      </c>
      <c r="O337" s="277"/>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c r="AM337" s="532"/>
      <c r="AN337" s="532"/>
      <c r="AO337" s="532"/>
      <c r="AP337" s="532"/>
      <c r="AQ337" s="532"/>
      <c r="AR337" s="532"/>
      <c r="AS337" s="532"/>
      <c r="AT337" s="532"/>
      <c r="AU337" s="532"/>
      <c r="AV337" s="532"/>
      <c r="AW337" s="532"/>
      <c r="AX337" s="532"/>
      <c r="AY337" s="532"/>
    </row>
    <row r="338" spans="1:51" s="154" customFormat="1" ht="15" x14ac:dyDescent="0.25">
      <c r="B338" s="261" t="str">
        <f>$B$35</f>
        <v>3/4-ton pick-up</v>
      </c>
      <c r="C338" s="458"/>
      <c r="D338" s="274">
        <f>$D$35</f>
        <v>0.6</v>
      </c>
      <c r="E338" s="274">
        <f>$E$35</f>
        <v>0.42</v>
      </c>
      <c r="F338" s="274">
        <f>$F$35</f>
        <v>0.45</v>
      </c>
      <c r="G338" s="466">
        <f>$G$35</f>
        <v>1.47</v>
      </c>
      <c r="H338" s="274">
        <f>$H$35</f>
        <v>0.17</v>
      </c>
      <c r="I338" s="274">
        <f>$I$35</f>
        <v>0.02</v>
      </c>
      <c r="J338" s="275">
        <f>$J$35</f>
        <v>0.03</v>
      </c>
      <c r="K338" s="274">
        <f>$K$35</f>
        <v>0.11</v>
      </c>
      <c r="L338" s="275">
        <f>$L$35</f>
        <v>0.01</v>
      </c>
      <c r="M338" s="266">
        <f>$M$35</f>
        <v>0.17</v>
      </c>
      <c r="N338" s="276">
        <f t="shared" si="78"/>
        <v>0.47</v>
      </c>
      <c r="O338" s="277"/>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c r="AM338" s="532"/>
      <c r="AN338" s="532"/>
      <c r="AO338" s="532"/>
      <c r="AP338" s="532"/>
      <c r="AQ338" s="532"/>
      <c r="AR338" s="532"/>
      <c r="AS338" s="532"/>
      <c r="AT338" s="532"/>
      <c r="AU338" s="532"/>
      <c r="AV338" s="532"/>
      <c r="AW338" s="532"/>
      <c r="AX338" s="532"/>
      <c r="AY338" s="532"/>
    </row>
    <row r="339" spans="1:51" s="154" customFormat="1" ht="15" x14ac:dyDescent="0.25">
      <c r="B339" s="261" t="str">
        <f>$B$36</f>
        <v>ATV</v>
      </c>
      <c r="C339" s="458"/>
      <c r="D339" s="274">
        <f>$D$36</f>
        <v>0.25</v>
      </c>
      <c r="E339" s="274">
        <f>$E$36</f>
        <v>0.14000000000000001</v>
      </c>
      <c r="F339" s="274">
        <f>$F$36</f>
        <v>0.03</v>
      </c>
      <c r="G339" s="466">
        <f>$G$36</f>
        <v>0.42000000000000004</v>
      </c>
      <c r="H339" s="274">
        <f>$H$36</f>
        <v>0.05</v>
      </c>
      <c r="I339" s="274">
        <f>$I$36</f>
        <v>0.06</v>
      </c>
      <c r="J339" s="275">
        <f>$J$36</f>
        <v>0.12</v>
      </c>
      <c r="K339" s="274">
        <f>$K$36</f>
        <v>0.42</v>
      </c>
      <c r="L339" s="275">
        <f>$L$36</f>
        <v>0.11</v>
      </c>
      <c r="M339" s="266">
        <f>$M$36</f>
        <v>1.87</v>
      </c>
      <c r="N339" s="276">
        <f t="shared" si="78"/>
        <v>2.4000000000000004</v>
      </c>
      <c r="O339" s="277"/>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c r="AM339" s="532"/>
      <c r="AN339" s="532"/>
      <c r="AO339" s="532"/>
      <c r="AP339" s="532"/>
      <c r="AQ339" s="532"/>
      <c r="AR339" s="532"/>
      <c r="AS339" s="532"/>
      <c r="AT339" s="532"/>
      <c r="AU339" s="532"/>
      <c r="AV339" s="532"/>
      <c r="AW339" s="532"/>
      <c r="AX339" s="532"/>
      <c r="AY339" s="532"/>
    </row>
    <row r="340" spans="1:51" s="154" customFormat="1" ht="13.5" thickBot="1" x14ac:dyDescent="0.25">
      <c r="B340" s="692" t="str">
        <f>$B$37</f>
        <v>Cost $/Acre</v>
      </c>
      <c r="C340" s="693"/>
      <c r="D340" s="237">
        <f t="shared" ref="D340:N340" si="79">SUM(D320:D339)</f>
        <v>14.4663</v>
      </c>
      <c r="E340" s="237">
        <f t="shared" si="79"/>
        <v>12.098999999999998</v>
      </c>
      <c r="F340" s="237">
        <f t="shared" si="79"/>
        <v>6.3446999999999996</v>
      </c>
      <c r="G340" s="237">
        <f t="shared" si="79"/>
        <v>32.910000000000004</v>
      </c>
      <c r="H340" s="237">
        <f t="shared" si="79"/>
        <v>7.5681000000000012</v>
      </c>
      <c r="I340" s="237">
        <f t="shared" si="79"/>
        <v>2.11</v>
      </c>
      <c r="J340" s="159">
        <f t="shared" si="79"/>
        <v>4.0999999999999988</v>
      </c>
      <c r="K340" s="237">
        <f t="shared" si="79"/>
        <v>13.979999999999999</v>
      </c>
      <c r="L340" s="159">
        <f t="shared" si="79"/>
        <v>0.65</v>
      </c>
      <c r="M340" s="237">
        <f t="shared" si="79"/>
        <v>12.34</v>
      </c>
      <c r="N340" s="237">
        <f t="shared" si="79"/>
        <v>35.998099999999994</v>
      </c>
      <c r="O340" s="157">
        <f>SUM(G340,N340)</f>
        <v>68.90809999999999</v>
      </c>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c r="AM340" s="532"/>
      <c r="AN340" s="532"/>
      <c r="AO340" s="532"/>
      <c r="AP340" s="532"/>
      <c r="AQ340" s="532"/>
      <c r="AR340" s="532"/>
      <c r="AS340" s="532"/>
      <c r="AT340" s="532"/>
      <c r="AU340" s="532"/>
      <c r="AV340" s="532"/>
      <c r="AW340" s="532"/>
      <c r="AX340" s="532"/>
      <c r="AY340" s="532"/>
    </row>
    <row r="341" spans="1:51" s="121" customFormat="1" ht="12.75" x14ac:dyDescent="0.2">
      <c r="A341" s="154"/>
      <c r="B341" s="154"/>
      <c r="C341" s="154"/>
      <c r="D341" s="154"/>
      <c r="E341" s="154"/>
      <c r="F341" s="154"/>
      <c r="G341" s="154"/>
      <c r="H341" s="154"/>
      <c r="I341" s="154"/>
      <c r="J341" s="154"/>
      <c r="K341" s="154"/>
      <c r="L341" s="154"/>
      <c r="M341" s="154"/>
      <c r="N341" s="154"/>
      <c r="O341" s="154"/>
      <c r="T341" s="532"/>
      <c r="U341" s="532"/>
      <c r="V341" s="532"/>
      <c r="W341" s="532"/>
      <c r="X341" s="532"/>
      <c r="Y341" s="532"/>
      <c r="Z341" s="532"/>
      <c r="AA341" s="532"/>
      <c r="AB341" s="532"/>
    </row>
    <row r="342" spans="1:51" s="121" customFormat="1" ht="12.75" x14ac:dyDescent="0.2">
      <c r="A342" s="532"/>
      <c r="B342" s="532"/>
      <c r="C342" s="532"/>
      <c r="D342" s="532"/>
      <c r="E342" s="532"/>
      <c r="F342" s="532"/>
      <c r="G342" s="532"/>
      <c r="H342" s="532"/>
      <c r="I342" s="532"/>
      <c r="J342" s="532"/>
      <c r="K342" s="532"/>
      <c r="L342" s="532"/>
      <c r="M342" s="532"/>
      <c r="N342" s="532"/>
      <c r="O342" s="532"/>
      <c r="T342" s="532"/>
      <c r="U342" s="532"/>
      <c r="V342" s="532"/>
      <c r="W342" s="532"/>
      <c r="X342" s="532"/>
      <c r="Y342" s="532"/>
      <c r="Z342" s="532"/>
      <c r="AA342" s="532"/>
      <c r="AB342" s="532"/>
    </row>
    <row r="343" spans="1:51" s="154" customFormat="1" ht="15.75" x14ac:dyDescent="0.25">
      <c r="A343" s="121"/>
      <c r="B343" s="492" t="s">
        <v>321</v>
      </c>
      <c r="C343" s="493"/>
      <c r="D343" s="493"/>
      <c r="E343" s="493"/>
      <c r="F343" s="493"/>
      <c r="G343" s="493"/>
      <c r="H343" s="493"/>
      <c r="I343" s="493"/>
      <c r="J343" s="493"/>
      <c r="K343" s="623" t="s">
        <v>526</v>
      </c>
      <c r="L343" s="493"/>
      <c r="M343" s="493"/>
      <c r="N343" s="493"/>
      <c r="O343" s="494" t="s">
        <v>528</v>
      </c>
      <c r="P343" s="198"/>
      <c r="Q343" s="532"/>
      <c r="R343" s="532"/>
      <c r="S343" s="532"/>
      <c r="T343" s="121"/>
      <c r="U343" s="532"/>
      <c r="V343" s="532"/>
      <c r="W343" s="532"/>
      <c r="X343" s="532"/>
      <c r="Y343" s="532"/>
      <c r="Z343" s="532"/>
      <c r="AA343" s="532"/>
      <c r="AB343" s="532"/>
      <c r="AC343" s="532"/>
      <c r="AD343" s="532"/>
      <c r="AE343" s="532"/>
      <c r="AF343" s="532"/>
      <c r="AG343" s="532"/>
      <c r="AH343" s="532"/>
      <c r="AI343" s="532"/>
      <c r="AJ343" s="532"/>
      <c r="AK343" s="532"/>
      <c r="AL343" s="532"/>
      <c r="AM343" s="532"/>
      <c r="AN343" s="532"/>
      <c r="AO343" s="532"/>
      <c r="AP343" s="532"/>
      <c r="AQ343" s="532"/>
      <c r="AR343" s="532"/>
      <c r="AS343" s="532"/>
      <c r="AT343" s="532"/>
      <c r="AU343" s="532"/>
      <c r="AV343" s="532"/>
      <c r="AW343" s="532"/>
      <c r="AX343" s="532"/>
      <c r="AY343" s="532"/>
    </row>
    <row r="344" spans="1:51" s="154" customFormat="1" ht="15" x14ac:dyDescent="0.25">
      <c r="B344" s="155"/>
      <c r="C344" s="455"/>
      <c r="D344" s="704" t="s">
        <v>173</v>
      </c>
      <c r="E344" s="705"/>
      <c r="F344" s="705"/>
      <c r="G344" s="706"/>
      <c r="H344" s="702" t="str">
        <f>$H$13</f>
        <v>Variable Costs</v>
      </c>
      <c r="I344" s="702">
        <f t="shared" ref="I344:N344" si="80">I298</f>
        <v>0</v>
      </c>
      <c r="J344" s="702">
        <f t="shared" si="80"/>
        <v>0</v>
      </c>
      <c r="K344" s="702">
        <f t="shared" si="80"/>
        <v>0</v>
      </c>
      <c r="L344" s="702">
        <f t="shared" si="80"/>
        <v>0</v>
      </c>
      <c r="M344" s="702">
        <f t="shared" si="80"/>
        <v>0</v>
      </c>
      <c r="N344" s="702">
        <f t="shared" si="80"/>
        <v>0</v>
      </c>
      <c r="O344" s="690" t="str">
        <f>$O$13</f>
        <v>Total Cost ($/Acre)</v>
      </c>
      <c r="P344" s="198" t="s">
        <v>417</v>
      </c>
      <c r="Q344" s="532"/>
      <c r="R344" s="532"/>
      <c r="S344" s="532"/>
      <c r="T344" s="532"/>
      <c r="U344" s="121"/>
      <c r="V344" s="121"/>
      <c r="W344" s="121"/>
      <c r="X344" s="121"/>
      <c r="Y344" s="121"/>
      <c r="Z344" s="121"/>
      <c r="AA344" s="121"/>
      <c r="AB344" s="121"/>
      <c r="AC344" s="532"/>
      <c r="AD344" s="532"/>
      <c r="AE344" s="532"/>
      <c r="AF344" s="532"/>
      <c r="AG344" s="532"/>
      <c r="AH344" s="532"/>
      <c r="AI344" s="532"/>
      <c r="AJ344" s="532"/>
      <c r="AK344" s="532"/>
      <c r="AL344" s="532"/>
      <c r="AM344" s="532"/>
      <c r="AN344" s="532"/>
      <c r="AO344" s="532"/>
      <c r="AP344" s="532"/>
      <c r="AQ344" s="532"/>
      <c r="AR344" s="532"/>
      <c r="AS344" s="532"/>
      <c r="AT344" s="532"/>
      <c r="AU344" s="532"/>
      <c r="AV344" s="532"/>
      <c r="AW344" s="532"/>
      <c r="AX344" s="532"/>
      <c r="AY344" s="532"/>
    </row>
    <row r="345" spans="1:51" s="154" customFormat="1" ht="12.75" x14ac:dyDescent="0.2">
      <c r="B345" s="714" t="str">
        <f>$B$14</f>
        <v>Operation</v>
      </c>
      <c r="C345" s="476"/>
      <c r="D345" s="694" t="str">
        <f>$D$14</f>
        <v>Depreciation</v>
      </c>
      <c r="E345" s="694" t="str">
        <f>$E$14</f>
        <v>Interest</v>
      </c>
      <c r="F345" s="694" t="str">
        <f>$F$14</f>
        <v>Taxes, housing, insurance, licenses</v>
      </c>
      <c r="G345" s="690" t="str">
        <f>$G$14</f>
        <v>Total Fixed Costs</v>
      </c>
      <c r="H345" s="694" t="str">
        <f>$H$14</f>
        <v>Repairs</v>
      </c>
      <c r="I345" s="694" t="str">
        <f>$I$14</f>
        <v>Lube Cost</v>
      </c>
      <c r="J345" s="703" t="str">
        <f>$J$14</f>
        <v>Fuel</v>
      </c>
      <c r="K345" s="703">
        <f>K294</f>
        <v>0</v>
      </c>
      <c r="L345" s="703" t="str">
        <f>$L$14</f>
        <v>Labor</v>
      </c>
      <c r="M345" s="703">
        <f>M294</f>
        <v>0</v>
      </c>
      <c r="N345" s="690" t="str">
        <f>$N$14</f>
        <v>Total Variable Costs</v>
      </c>
      <c r="O345" s="713"/>
      <c r="P345" s="590" t="s">
        <v>459</v>
      </c>
      <c r="Q345" s="532"/>
      <c r="R345" s="532"/>
      <c r="S345" s="532"/>
      <c r="T345" s="532"/>
      <c r="U345" s="532"/>
      <c r="V345" s="532"/>
      <c r="W345" s="532"/>
      <c r="X345" s="532"/>
      <c r="Y345" s="532"/>
      <c r="Z345" s="532"/>
      <c r="AA345" s="532"/>
      <c r="AB345" s="532"/>
      <c r="AC345" s="532"/>
      <c r="AD345" s="532"/>
      <c r="AE345" s="532"/>
      <c r="AF345" s="532"/>
      <c r="AG345" s="532"/>
      <c r="AH345" s="532"/>
      <c r="AI345" s="532"/>
      <c r="AJ345" s="532"/>
      <c r="AK345" s="532"/>
      <c r="AL345" s="532"/>
      <c r="AM345" s="532"/>
      <c r="AN345" s="532"/>
      <c r="AO345" s="532"/>
      <c r="AP345" s="532"/>
      <c r="AQ345" s="532"/>
      <c r="AR345" s="532"/>
      <c r="AS345" s="532"/>
      <c r="AT345" s="532"/>
      <c r="AU345" s="532"/>
      <c r="AV345" s="532"/>
      <c r="AW345" s="532"/>
      <c r="AX345" s="532"/>
      <c r="AY345" s="532"/>
    </row>
    <row r="346" spans="1:51" s="154" customFormat="1" ht="38.25" customHeight="1" x14ac:dyDescent="0.2">
      <c r="B346" s="715" t="str">
        <f>B299</f>
        <v>300HP Tractor &amp; 36' cultivator</v>
      </c>
      <c r="C346" s="475" t="s">
        <v>208</v>
      </c>
      <c r="D346" s="695"/>
      <c r="E346" s="695"/>
      <c r="F346" s="695"/>
      <c r="G346" s="691"/>
      <c r="H346" s="700">
        <f>H299</f>
        <v>0</v>
      </c>
      <c r="I346" s="700">
        <f>I299</f>
        <v>0</v>
      </c>
      <c r="J346" s="474" t="str">
        <f>$J$15</f>
        <v>Fuel Use gal/acre</v>
      </c>
      <c r="K346" s="474" t="str">
        <f>$K$15</f>
        <v>Fuel Cost</v>
      </c>
      <c r="L346" s="474" t="str">
        <f>$L$15</f>
        <v>Labor hrs/acre</v>
      </c>
      <c r="M346" s="474" t="str">
        <f>$M$15</f>
        <v>Labor Cost</v>
      </c>
      <c r="N346" s="691"/>
      <c r="O346" s="691"/>
      <c r="P346" s="532"/>
      <c r="Q346" s="532"/>
      <c r="R346" s="532"/>
      <c r="S346" s="532"/>
      <c r="T346" s="532"/>
      <c r="U346" s="532"/>
      <c r="V346" s="532"/>
      <c r="W346" s="532"/>
      <c r="X346" s="532"/>
      <c r="Y346" s="532"/>
      <c r="Z346" s="532"/>
      <c r="AA346" s="532"/>
      <c r="AB346" s="532"/>
      <c r="AC346" s="532"/>
      <c r="AD346" s="532"/>
      <c r="AE346" s="532"/>
      <c r="AF346" s="532"/>
      <c r="AG346" s="532"/>
      <c r="AH346" s="532"/>
      <c r="AI346" s="532"/>
      <c r="AJ346" s="532"/>
      <c r="AK346" s="532"/>
      <c r="AL346" s="532"/>
      <c r="AM346" s="532"/>
      <c r="AN346" s="532"/>
      <c r="AO346" s="532"/>
      <c r="AP346" s="532"/>
      <c r="AQ346" s="532"/>
      <c r="AR346" s="532"/>
      <c r="AS346" s="532"/>
      <c r="AT346" s="532"/>
      <c r="AU346" s="532"/>
      <c r="AV346" s="532"/>
      <c r="AW346" s="532"/>
      <c r="AX346" s="532"/>
      <c r="AY346" s="532"/>
    </row>
    <row r="347" spans="1:51" s="154" customFormat="1" ht="12.75" x14ac:dyDescent="0.2">
      <c r="B347" s="165" t="str">
        <f>$B$16</f>
        <v>Seasonal operations:</v>
      </c>
      <c r="C347" s="457"/>
      <c r="D347" s="460"/>
      <c r="E347" s="460"/>
      <c r="F347" s="460"/>
      <c r="G347" s="461"/>
      <c r="H347" s="166"/>
      <c r="I347" s="166"/>
      <c r="J347" s="170"/>
      <c r="K347" s="170"/>
      <c r="L347" s="170"/>
      <c r="M347" s="170"/>
      <c r="N347" s="171"/>
      <c r="O347" s="167"/>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c r="AM347" s="532"/>
      <c r="AN347" s="532"/>
      <c r="AO347" s="532"/>
      <c r="AP347" s="532"/>
      <c r="AQ347" s="532"/>
      <c r="AR347" s="532"/>
      <c r="AS347" s="532"/>
      <c r="AT347" s="532"/>
      <c r="AU347" s="532"/>
      <c r="AV347" s="532"/>
      <c r="AW347" s="532"/>
      <c r="AX347" s="532"/>
      <c r="AY347" s="532"/>
    </row>
    <row r="348" spans="1:51" ht="15" x14ac:dyDescent="0.25">
      <c r="A348" s="532"/>
      <c r="B348" s="164" t="str">
        <f>$B$17</f>
        <v>Self-propelled sprayer</v>
      </c>
      <c r="C348" s="459">
        <v>2</v>
      </c>
      <c r="D348" s="173">
        <f>$D$17*$C348</f>
        <v>3.64</v>
      </c>
      <c r="E348" s="173">
        <f>$E$17*$C348</f>
        <v>3.76</v>
      </c>
      <c r="F348" s="173">
        <f>$F$17*$C348</f>
        <v>1.86</v>
      </c>
      <c r="G348" s="464">
        <f>SUM(D348:F348)</f>
        <v>9.26</v>
      </c>
      <c r="H348" s="173">
        <f>$H$17*$C348</f>
        <v>0.88</v>
      </c>
      <c r="I348" s="173">
        <f>$I$17*$C348</f>
        <v>0.04</v>
      </c>
      <c r="J348" s="174">
        <f>$J$17*$C348</f>
        <v>0.08</v>
      </c>
      <c r="K348" s="173">
        <f>$K$17*$C348</f>
        <v>0.28000000000000003</v>
      </c>
      <c r="L348" s="174">
        <f>$L$17*$C348</f>
        <v>0.04</v>
      </c>
      <c r="M348" s="175">
        <f>$M$17*$C348</f>
        <v>0.8</v>
      </c>
      <c r="N348" s="239">
        <f t="shared" ref="N348:N353" si="81">SUM(H348,I348,K348,M348)</f>
        <v>2</v>
      </c>
      <c r="O348" s="176"/>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c r="AM348" s="532"/>
      <c r="AN348" s="532"/>
      <c r="AO348" s="532"/>
      <c r="AP348" s="532"/>
      <c r="AQ348" s="532"/>
      <c r="AR348" s="532"/>
      <c r="AS348" s="532"/>
      <c r="AT348" s="532"/>
      <c r="AU348" s="532"/>
      <c r="AV348" s="532"/>
      <c r="AW348" s="532"/>
      <c r="AX348" s="532"/>
      <c r="AY348" s="532"/>
    </row>
    <row r="349" spans="1:51" ht="15" x14ac:dyDescent="0.25">
      <c r="A349" s="532"/>
      <c r="B349" s="164" t="str">
        <f>$B$18</f>
        <v>300HP Tractor &amp; 90' sprayer</v>
      </c>
      <c r="C349" s="459">
        <v>0</v>
      </c>
      <c r="D349" s="173">
        <f>$D$18*$C349</f>
        <v>0</v>
      </c>
      <c r="E349" s="173">
        <f>$E$18*$C349</f>
        <v>0</v>
      </c>
      <c r="F349" s="173">
        <f>$F$18*$C349</f>
        <v>0</v>
      </c>
      <c r="G349" s="464">
        <f>SUM(D349:F349)</f>
        <v>0</v>
      </c>
      <c r="H349" s="173">
        <f>$H$18*$C349</f>
        <v>0</v>
      </c>
      <c r="I349" s="173">
        <f>$I$18*$C349</f>
        <v>0</v>
      </c>
      <c r="J349" s="174">
        <f>$J$18*$C349</f>
        <v>0</v>
      </c>
      <c r="K349" s="173">
        <f>$K$18*$C349</f>
        <v>0</v>
      </c>
      <c r="L349" s="174">
        <f>$L$18*$C349</f>
        <v>0</v>
      </c>
      <c r="M349" s="175">
        <f>$M$18*$C349</f>
        <v>0</v>
      </c>
      <c r="N349" s="239">
        <f t="shared" si="81"/>
        <v>0</v>
      </c>
      <c r="O349" s="176"/>
      <c r="P349" s="532"/>
      <c r="Q349" s="532"/>
      <c r="R349" s="532"/>
      <c r="S349" s="532"/>
      <c r="T349" s="532"/>
      <c r="U349" s="532"/>
      <c r="V349" s="532"/>
      <c r="W349" s="532"/>
      <c r="X349" s="532"/>
      <c r="Y349" s="532"/>
      <c r="Z349" s="532"/>
      <c r="AA349" s="532"/>
      <c r="AB349" s="532"/>
      <c r="AC349" s="532"/>
      <c r="AD349" s="532"/>
      <c r="AE349" s="532"/>
      <c r="AF349" s="532"/>
      <c r="AG349" s="532"/>
      <c r="AH349" s="532"/>
      <c r="AI349" s="532"/>
      <c r="AJ349" s="532"/>
      <c r="AK349" s="532"/>
      <c r="AL349" s="532"/>
      <c r="AM349" s="532"/>
      <c r="AN349" s="532"/>
      <c r="AO349" s="532"/>
      <c r="AP349" s="532"/>
      <c r="AQ349" s="532"/>
      <c r="AR349" s="532"/>
      <c r="AS349" s="532"/>
      <c r="AT349" s="532"/>
      <c r="AU349" s="532"/>
      <c r="AV349" s="532"/>
      <c r="AW349" s="532"/>
      <c r="AX349" s="532"/>
      <c r="AY349" s="532"/>
    </row>
    <row r="350" spans="1:51" s="154" customFormat="1" ht="15" x14ac:dyDescent="0.25">
      <c r="B350" s="156" t="str">
        <f>$B$19</f>
        <v>300HP Tractor &amp; 48' rodweeder</v>
      </c>
      <c r="C350" s="459">
        <v>0</v>
      </c>
      <c r="D350" s="173">
        <f>$D$19*$C350</f>
        <v>0</v>
      </c>
      <c r="E350" s="173">
        <f>$E$19*$C350</f>
        <v>0</v>
      </c>
      <c r="F350" s="173">
        <f>$F$19*$C350</f>
        <v>0</v>
      </c>
      <c r="G350" s="464">
        <f>SUM(D350:F350)</f>
        <v>0</v>
      </c>
      <c r="H350" s="173">
        <f>$H$19*$C350</f>
        <v>0</v>
      </c>
      <c r="I350" s="173">
        <f>$I$19*$C350</f>
        <v>0</v>
      </c>
      <c r="J350" s="174">
        <f>$J$19*$C350</f>
        <v>0</v>
      </c>
      <c r="K350" s="173">
        <f>$K$19*$C350</f>
        <v>0</v>
      </c>
      <c r="L350" s="174">
        <f>$L$19*$C350</f>
        <v>0</v>
      </c>
      <c r="M350" s="175">
        <f>$M$19*$C350</f>
        <v>0</v>
      </c>
      <c r="N350" s="239">
        <f t="shared" si="81"/>
        <v>0</v>
      </c>
      <c r="O350" s="176"/>
      <c r="P350" s="532"/>
      <c r="Q350" s="532"/>
      <c r="R350" s="532"/>
      <c r="S350" s="532"/>
      <c r="T350" s="532"/>
      <c r="U350" s="532"/>
      <c r="V350" s="532"/>
      <c r="W350" s="532"/>
      <c r="X350" s="532"/>
      <c r="Y350" s="532"/>
      <c r="Z350" s="532"/>
      <c r="AA350" s="532"/>
      <c r="AB350" s="532"/>
      <c r="AC350" s="532"/>
      <c r="AD350" s="532"/>
      <c r="AE350" s="532"/>
      <c r="AF350" s="532"/>
      <c r="AG350" s="532"/>
      <c r="AH350" s="532"/>
      <c r="AI350" s="532"/>
      <c r="AJ350" s="532"/>
      <c r="AK350" s="532"/>
      <c r="AL350" s="532"/>
      <c r="AM350" s="532"/>
      <c r="AN350" s="532"/>
      <c r="AO350" s="532"/>
      <c r="AP350" s="532"/>
      <c r="AQ350" s="532"/>
      <c r="AR350" s="532"/>
      <c r="AS350" s="532"/>
      <c r="AT350" s="532"/>
      <c r="AU350" s="532"/>
      <c r="AV350" s="532"/>
      <c r="AW350" s="532"/>
      <c r="AX350" s="532"/>
      <c r="AY350" s="532"/>
    </row>
    <row r="351" spans="1:51" s="154" customFormat="1" ht="15" x14ac:dyDescent="0.25">
      <c r="B351" s="164" t="str">
        <f>$B$20</f>
        <v>300HP Tractor &amp; 26' shredder</v>
      </c>
      <c r="C351" s="459">
        <v>0</v>
      </c>
      <c r="D351" s="173">
        <f>$D$20*$C351</f>
        <v>0</v>
      </c>
      <c r="E351" s="173">
        <f>$E$20*$C351</f>
        <v>0</v>
      </c>
      <c r="F351" s="173">
        <f>$F$20*$C351</f>
        <v>0</v>
      </c>
      <c r="G351" s="464">
        <f>SUM(D351:F351)</f>
        <v>0</v>
      </c>
      <c r="H351" s="173">
        <f>$H$20*$C351</f>
        <v>0</v>
      </c>
      <c r="I351" s="173">
        <f>$I$20*$C351</f>
        <v>0</v>
      </c>
      <c r="J351" s="174">
        <f>$J$20*$C351</f>
        <v>0</v>
      </c>
      <c r="K351" s="173">
        <f>$K$20*$C351</f>
        <v>0</v>
      </c>
      <c r="L351" s="174">
        <f>$L$20*$C351</f>
        <v>0</v>
      </c>
      <c r="M351" s="175">
        <f>$M$20*$C351</f>
        <v>0</v>
      </c>
      <c r="N351" s="239">
        <f t="shared" si="81"/>
        <v>0</v>
      </c>
      <c r="O351" s="176"/>
      <c r="P351" s="532"/>
      <c r="Q351" s="532"/>
      <c r="R351" s="532"/>
      <c r="S351" s="532"/>
      <c r="T351" s="532"/>
      <c r="U351" s="532"/>
      <c r="V351" s="532"/>
      <c r="W351" s="532"/>
      <c r="X351" s="532"/>
      <c r="Y351" s="532"/>
      <c r="Z351" s="532"/>
      <c r="AA351" s="532"/>
      <c r="AB351" s="532"/>
      <c r="AC351" s="532"/>
      <c r="AD351" s="532"/>
      <c r="AE351" s="532"/>
      <c r="AF351" s="532"/>
      <c r="AG351" s="532"/>
      <c r="AH351" s="532"/>
      <c r="AI351" s="532"/>
      <c r="AJ351" s="532"/>
      <c r="AK351" s="532"/>
      <c r="AL351" s="532"/>
      <c r="AM351" s="532"/>
      <c r="AN351" s="532"/>
      <c r="AO351" s="532"/>
      <c r="AP351" s="532"/>
      <c r="AQ351" s="532"/>
      <c r="AR351" s="532"/>
      <c r="AS351" s="532"/>
      <c r="AT351" s="532"/>
      <c r="AU351" s="532"/>
      <c r="AV351" s="532"/>
      <c r="AW351" s="532"/>
      <c r="AX351" s="532"/>
      <c r="AY351" s="532"/>
    </row>
    <row r="352" spans="1:51" s="154" customFormat="1" ht="15" x14ac:dyDescent="0.25">
      <c r="B352" s="164" t="str">
        <f>$B$21</f>
        <v>300HP Tractor &amp; 34' tandem disk</v>
      </c>
      <c r="C352" s="459">
        <v>0</v>
      </c>
      <c r="D352" s="173">
        <f>$D$21*$C352</f>
        <v>0</v>
      </c>
      <c r="E352" s="173">
        <f>$E$21*$C352</f>
        <v>0</v>
      </c>
      <c r="F352" s="173">
        <f>$F$21*$C352</f>
        <v>0</v>
      </c>
      <c r="G352" s="464">
        <f t="shared" ref="G352:G360" si="82">SUM(D352:F352)</f>
        <v>0</v>
      </c>
      <c r="H352" s="173">
        <f>$H$21*$C352</f>
        <v>0</v>
      </c>
      <c r="I352" s="173">
        <f>$I$21*$C352</f>
        <v>0</v>
      </c>
      <c r="J352" s="174">
        <f>$J$21*$C352</f>
        <v>0</v>
      </c>
      <c r="K352" s="173">
        <f>$K$21*$C352</f>
        <v>0</v>
      </c>
      <c r="L352" s="174">
        <f>$L$21*$C352</f>
        <v>0</v>
      </c>
      <c r="M352" s="175">
        <f>$M$21*$C352</f>
        <v>0</v>
      </c>
      <c r="N352" s="239">
        <f t="shared" si="81"/>
        <v>0</v>
      </c>
      <c r="O352" s="176"/>
      <c r="P352" s="532"/>
      <c r="Q352" s="532"/>
      <c r="R352" s="532"/>
      <c r="S352" s="532"/>
      <c r="T352" s="532"/>
      <c r="U352" s="532"/>
      <c r="V352" s="532"/>
      <c r="W352" s="532"/>
      <c r="X352" s="532"/>
      <c r="Y352" s="532"/>
      <c r="Z352" s="532"/>
      <c r="AA352" s="532"/>
      <c r="AB352" s="532"/>
      <c r="AC352" s="532"/>
      <c r="AD352" s="532"/>
      <c r="AE352" s="532"/>
      <c r="AF352" s="532"/>
      <c r="AG352" s="532"/>
      <c r="AH352" s="532"/>
      <c r="AI352" s="532"/>
      <c r="AJ352" s="532"/>
      <c r="AK352" s="532"/>
      <c r="AL352" s="532"/>
      <c r="AM352" s="532"/>
      <c r="AN352" s="532"/>
      <c r="AO352" s="532"/>
      <c r="AP352" s="532"/>
      <c r="AQ352" s="532"/>
      <c r="AR352" s="532"/>
      <c r="AS352" s="532"/>
      <c r="AT352" s="532"/>
      <c r="AU352" s="532"/>
      <c r="AV352" s="532"/>
      <c r="AW352" s="532"/>
      <c r="AX352" s="532"/>
      <c r="AY352" s="532"/>
    </row>
    <row r="353" spans="1:51" ht="15" x14ac:dyDescent="0.25">
      <c r="A353" s="532"/>
      <c r="B353" s="164" t="str">
        <f>$B$22</f>
        <v>300HP Tractor &amp; 36' cultiweeder</v>
      </c>
      <c r="C353" s="459">
        <v>1</v>
      </c>
      <c r="D353" s="173">
        <f>$D$22*$C353</f>
        <v>1.42</v>
      </c>
      <c r="E353" s="173">
        <f>$E$22*$C353</f>
        <v>0.92</v>
      </c>
      <c r="F353" s="173">
        <f>$F$22*$C353</f>
        <v>0.15</v>
      </c>
      <c r="G353" s="464">
        <f>SUM(D353:F353)</f>
        <v>2.4899999999999998</v>
      </c>
      <c r="H353" s="173">
        <f>$H$22*$C353</f>
        <v>0.41</v>
      </c>
      <c r="I353" s="173">
        <f>$I$22*$C353</f>
        <v>0.28000000000000003</v>
      </c>
      <c r="J353" s="174">
        <f>$J$22*$C353</f>
        <v>0.55000000000000004</v>
      </c>
      <c r="K353" s="173">
        <f>$K$22*$C353</f>
        <v>1.87</v>
      </c>
      <c r="L353" s="174">
        <f>$L$22*$C353</f>
        <v>0.04</v>
      </c>
      <c r="M353" s="175">
        <f>$M$22*$C353</f>
        <v>0.8</v>
      </c>
      <c r="N353" s="239">
        <f t="shared" si="81"/>
        <v>3.3600000000000003</v>
      </c>
      <c r="O353" s="176"/>
      <c r="P353" s="532"/>
      <c r="Q353" s="532"/>
      <c r="R353" s="532"/>
      <c r="S353" s="532"/>
      <c r="T353" s="532"/>
      <c r="U353" s="532"/>
      <c r="V353" s="532"/>
      <c r="W353" s="532"/>
      <c r="X353" s="532"/>
      <c r="Y353" s="532"/>
      <c r="Z353" s="532"/>
      <c r="AA353" s="532"/>
      <c r="AB353" s="532"/>
      <c r="AC353" s="532"/>
      <c r="AD353" s="532"/>
      <c r="AE353" s="532"/>
      <c r="AF353" s="532"/>
      <c r="AG353" s="532"/>
      <c r="AH353" s="532"/>
      <c r="AI353" s="532"/>
      <c r="AJ353" s="532"/>
      <c r="AK353" s="532"/>
      <c r="AL353" s="532"/>
      <c r="AM353" s="532"/>
      <c r="AN353" s="532"/>
      <c r="AO353" s="532"/>
      <c r="AP353" s="532"/>
      <c r="AQ353" s="532"/>
      <c r="AR353" s="532"/>
      <c r="AS353" s="532"/>
      <c r="AT353" s="532"/>
      <c r="AU353" s="532"/>
      <c r="AV353" s="532"/>
      <c r="AW353" s="532"/>
      <c r="AX353" s="532"/>
      <c r="AY353" s="532"/>
    </row>
    <row r="354" spans="1:51" s="154" customFormat="1" ht="15" x14ac:dyDescent="0.25">
      <c r="B354" s="156" t="str">
        <f>$B$23</f>
        <v>300HP Tractor &amp; 35' chisel plow</v>
      </c>
      <c r="C354" s="459">
        <v>1</v>
      </c>
      <c r="D354" s="173">
        <f>$D$23*$C354</f>
        <v>2.17</v>
      </c>
      <c r="E354" s="173">
        <f>$E$23*$C354</f>
        <v>1.41</v>
      </c>
      <c r="F354" s="173">
        <f>$F$23*$C354</f>
        <v>0.24</v>
      </c>
      <c r="G354" s="464">
        <f t="shared" si="82"/>
        <v>3.8200000000000003</v>
      </c>
      <c r="H354" s="173">
        <f>$H$23*$C354</f>
        <v>0.79</v>
      </c>
      <c r="I354" s="173">
        <f>$I$23*$C354</f>
        <v>0.48</v>
      </c>
      <c r="J354" s="174">
        <f>$J$23*$C354</f>
        <v>0.95</v>
      </c>
      <c r="K354" s="173">
        <f>$K$23*$C354</f>
        <v>3.23</v>
      </c>
      <c r="L354" s="174">
        <f>$L$23*$C354</f>
        <v>0.08</v>
      </c>
      <c r="M354" s="175">
        <f>$M$23*$C354</f>
        <v>1.6</v>
      </c>
      <c r="N354" s="239">
        <f t="shared" ref="N354:N360" si="83">SUM(H354,I354,K354,M354)</f>
        <v>6.1</v>
      </c>
      <c r="O354" s="176"/>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2"/>
      <c r="AY354" s="532"/>
    </row>
    <row r="355" spans="1:51" s="154" customFormat="1" ht="15" x14ac:dyDescent="0.25">
      <c r="B355" s="156" t="str">
        <f>$B$24</f>
        <v>300HP Tractor &amp; 36' cultivator</v>
      </c>
      <c r="C355" s="459">
        <v>0</v>
      </c>
      <c r="D355" s="173">
        <f>$D$24*$C355</f>
        <v>0</v>
      </c>
      <c r="E355" s="173">
        <f>$E$24*$C355</f>
        <v>0</v>
      </c>
      <c r="F355" s="173">
        <f>$F$24*$C355</f>
        <v>0</v>
      </c>
      <c r="G355" s="464">
        <f t="shared" si="82"/>
        <v>0</v>
      </c>
      <c r="H355" s="173">
        <f>$H$24*$C355</f>
        <v>0</v>
      </c>
      <c r="I355" s="173">
        <f>$I$24*$C355</f>
        <v>0</v>
      </c>
      <c r="J355" s="174">
        <f>$J$24*$C355</f>
        <v>0</v>
      </c>
      <c r="K355" s="173">
        <f>$K$24*$C355</f>
        <v>0</v>
      </c>
      <c r="L355" s="174">
        <f>$L$24*$C355</f>
        <v>0</v>
      </c>
      <c r="M355" s="175">
        <f>$M$24*$C355</f>
        <v>0</v>
      </c>
      <c r="N355" s="239">
        <f t="shared" si="83"/>
        <v>0</v>
      </c>
      <c r="O355" s="176"/>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2"/>
      <c r="AY355" s="532"/>
    </row>
    <row r="356" spans="1:51" s="154" customFormat="1" ht="15" x14ac:dyDescent="0.25">
      <c r="B356" s="156" t="str">
        <f>$B$25</f>
        <v>300HP Tractor &amp; 48' spring tooth harrow</v>
      </c>
      <c r="C356" s="459">
        <v>0</v>
      </c>
      <c r="D356" s="173">
        <f>$D$25*$C356</f>
        <v>0</v>
      </c>
      <c r="E356" s="173">
        <f>$E$25*$C356</f>
        <v>0</v>
      </c>
      <c r="F356" s="173">
        <f>$F$25*$C356</f>
        <v>0</v>
      </c>
      <c r="G356" s="464">
        <f t="shared" si="82"/>
        <v>0</v>
      </c>
      <c r="H356" s="173">
        <f>$H$25*$C356</f>
        <v>0</v>
      </c>
      <c r="I356" s="173">
        <f>$I$25*$C356</f>
        <v>0</v>
      </c>
      <c r="J356" s="174">
        <f>$J$25*$C356</f>
        <v>0</v>
      </c>
      <c r="K356" s="173">
        <f>$K$25*$C356</f>
        <v>0</v>
      </c>
      <c r="L356" s="174">
        <f>$L$25*$C356</f>
        <v>0</v>
      </c>
      <c r="M356" s="175">
        <f>$M$25*$C356</f>
        <v>0</v>
      </c>
      <c r="N356" s="239">
        <f t="shared" si="83"/>
        <v>0</v>
      </c>
      <c r="O356" s="176"/>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c r="AM356" s="532"/>
      <c r="AN356" s="532"/>
      <c r="AO356" s="532"/>
      <c r="AP356" s="532"/>
      <c r="AQ356" s="532"/>
      <c r="AR356" s="532"/>
      <c r="AS356" s="532"/>
      <c r="AT356" s="532"/>
      <c r="AU356" s="532"/>
      <c r="AV356" s="532"/>
      <c r="AW356" s="532"/>
      <c r="AX356" s="532"/>
      <c r="AY356" s="532"/>
    </row>
    <row r="357" spans="1:51" s="154" customFormat="1" ht="15" x14ac:dyDescent="0.25">
      <c r="B357" s="156" t="str">
        <f>$B$26</f>
        <v>300HP Tractor &amp; 36' grain drill</v>
      </c>
      <c r="C357" s="459">
        <v>1</v>
      </c>
      <c r="D357" s="173">
        <f>$D$26*$C357</f>
        <v>1.54</v>
      </c>
      <c r="E357" s="173">
        <f>$E$26*$C357</f>
        <v>1.4</v>
      </c>
      <c r="F357" s="173">
        <f>$F$26*$C357</f>
        <v>0.49</v>
      </c>
      <c r="G357" s="464">
        <f t="shared" si="82"/>
        <v>3.4299999999999997</v>
      </c>
      <c r="H357" s="173">
        <f>$H$26*$C357</f>
        <v>1.02</v>
      </c>
      <c r="I357" s="173">
        <f>$I$26*$C357</f>
        <v>0.56999999999999995</v>
      </c>
      <c r="J357" s="174">
        <f>$J$26*$C357</f>
        <v>1.1200000000000001</v>
      </c>
      <c r="K357" s="173">
        <f>$K$26*$C357</f>
        <v>3.81</v>
      </c>
      <c r="L357" s="174">
        <f>$L$26*$C357</f>
        <v>0.09</v>
      </c>
      <c r="M357" s="175">
        <f>$M$26*$C357</f>
        <v>1.8</v>
      </c>
      <c r="N357" s="239">
        <f t="shared" si="83"/>
        <v>7.2</v>
      </c>
      <c r="O357" s="176"/>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c r="AM357" s="532"/>
      <c r="AN357" s="532"/>
      <c r="AO357" s="532"/>
      <c r="AP357" s="532"/>
      <c r="AQ357" s="532"/>
      <c r="AR357" s="532"/>
      <c r="AS357" s="532"/>
      <c r="AT357" s="532"/>
      <c r="AU357" s="532"/>
      <c r="AV357" s="532"/>
      <c r="AW357" s="532"/>
      <c r="AX357" s="532"/>
      <c r="AY357" s="532"/>
    </row>
    <row r="358" spans="1:51" s="154" customFormat="1" ht="15" x14ac:dyDescent="0.25">
      <c r="B358" s="168" t="str">
        <f>$B$27</f>
        <v>Combine &amp; 30' header  *4 mph harvest speed*</v>
      </c>
      <c r="C358" s="459">
        <v>1</v>
      </c>
      <c r="D358" s="173">
        <f>$D$27*$C358</f>
        <v>2.48</v>
      </c>
      <c r="E358" s="173">
        <f>$E$27*$C358</f>
        <v>2.21</v>
      </c>
      <c r="F358" s="173">
        <f>$F$27*$C358</f>
        <v>0.92</v>
      </c>
      <c r="G358" s="464">
        <f t="shared" si="82"/>
        <v>5.6099999999999994</v>
      </c>
      <c r="H358" s="173">
        <f>$H$27*$C358</f>
        <v>2.29</v>
      </c>
      <c r="I358" s="173">
        <f>$I$27*$C358</f>
        <v>0.27</v>
      </c>
      <c r="J358" s="174">
        <f>$J$27*$C358</f>
        <v>0.52</v>
      </c>
      <c r="K358" s="173">
        <f>$K$27*$C358</f>
        <v>1.77</v>
      </c>
      <c r="L358" s="174">
        <f>$L$27*$C358</f>
        <v>0.09</v>
      </c>
      <c r="M358" s="175">
        <f>$M$27*$C358</f>
        <v>1.8</v>
      </c>
      <c r="N358" s="239">
        <f t="shared" si="83"/>
        <v>6.13</v>
      </c>
      <c r="O358" s="176"/>
      <c r="P358" s="533"/>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c r="AM358" s="532"/>
      <c r="AN358" s="532"/>
      <c r="AO358" s="532"/>
      <c r="AP358" s="532"/>
      <c r="AQ358" s="532"/>
      <c r="AR358" s="532"/>
      <c r="AS358" s="532"/>
      <c r="AT358" s="532"/>
      <c r="AU358" s="532"/>
      <c r="AV358" s="532"/>
      <c r="AW358" s="532"/>
      <c r="AX358" s="532"/>
      <c r="AY358" s="532"/>
    </row>
    <row r="359" spans="1:51" ht="15" x14ac:dyDescent="0.25">
      <c r="A359" s="532"/>
      <c r="B359" s="168" t="str">
        <f>$B$28</f>
        <v>Combine &amp; 30' header *3 mph harvest speed*</v>
      </c>
      <c r="C359" s="459">
        <v>0</v>
      </c>
      <c r="D359" s="173">
        <f>$D$28*$C359</f>
        <v>0</v>
      </c>
      <c r="E359" s="173">
        <f>$E$28*$C359</f>
        <v>0</v>
      </c>
      <c r="F359" s="173">
        <f>$F$28*$C359</f>
        <v>0</v>
      </c>
      <c r="G359" s="464">
        <f>SUM(D359:F359)</f>
        <v>0</v>
      </c>
      <c r="H359" s="173">
        <f>$H$28*$C359</f>
        <v>0</v>
      </c>
      <c r="I359" s="173">
        <f>$I$28*$C359</f>
        <v>0</v>
      </c>
      <c r="J359" s="174">
        <f>$J$28*$C359</f>
        <v>0</v>
      </c>
      <c r="K359" s="173">
        <f>$K$28*$C359</f>
        <v>0</v>
      </c>
      <c r="L359" s="174">
        <f>$L$28*$C359</f>
        <v>0</v>
      </c>
      <c r="M359" s="175">
        <f>$M$28*$C359</f>
        <v>0</v>
      </c>
      <c r="N359" s="239">
        <f t="shared" si="83"/>
        <v>0</v>
      </c>
      <c r="O359" s="176"/>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2"/>
      <c r="AY359" s="532"/>
    </row>
    <row r="360" spans="1:51" s="154" customFormat="1" ht="15" x14ac:dyDescent="0.25">
      <c r="B360" s="168" t="str">
        <f>$B$29</f>
        <v>300HP Tractor &amp; Bankout wagon</v>
      </c>
      <c r="C360" s="459">
        <v>1</v>
      </c>
      <c r="D360" s="173">
        <f>$D$29*$C360</f>
        <v>0.9163</v>
      </c>
      <c r="E360" s="173">
        <f>$E$29*$C360</f>
        <v>0.53899999999999992</v>
      </c>
      <c r="F360" s="173">
        <f>$F$29*$C360</f>
        <v>8.4699999999999998E-2</v>
      </c>
      <c r="G360" s="464">
        <f t="shared" si="82"/>
        <v>1.5399999999999998</v>
      </c>
      <c r="H360" s="173">
        <f>$H$29*$C360</f>
        <v>0.40810000000000002</v>
      </c>
      <c r="I360" s="173">
        <f>$I$29*$C360</f>
        <v>0.25</v>
      </c>
      <c r="J360" s="174">
        <f>$J$29*$C360</f>
        <v>0.49</v>
      </c>
      <c r="K360" s="173">
        <f>$K$29*$C360</f>
        <v>1.67</v>
      </c>
      <c r="L360" s="174">
        <f>$L$29*$C360</f>
        <v>0.09</v>
      </c>
      <c r="M360" s="175">
        <f>$M$29*$C360</f>
        <v>1.8</v>
      </c>
      <c r="N360" s="239">
        <f t="shared" si="83"/>
        <v>4.1280999999999999</v>
      </c>
      <c r="O360" s="176"/>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c r="AM360" s="532"/>
      <c r="AN360" s="532"/>
      <c r="AO360" s="532"/>
      <c r="AP360" s="532"/>
      <c r="AQ360" s="532"/>
      <c r="AR360" s="532"/>
      <c r="AS360" s="532"/>
      <c r="AT360" s="532"/>
      <c r="AU360" s="532"/>
      <c r="AV360" s="532"/>
      <c r="AW360" s="532"/>
      <c r="AX360" s="532"/>
      <c r="AY360" s="532"/>
    </row>
    <row r="361" spans="1:51" s="154" customFormat="1" ht="15" x14ac:dyDescent="0.25">
      <c r="B361" s="255" t="str">
        <f>$B$30</f>
        <v>Annual Costs:</v>
      </c>
      <c r="C361" s="454"/>
      <c r="D361" s="268"/>
      <c r="E361" s="268"/>
      <c r="F361" s="268"/>
      <c r="G361" s="465"/>
      <c r="H361" s="269"/>
      <c r="I361" s="269"/>
      <c r="J361" s="270"/>
      <c r="K361" s="269"/>
      <c r="L361" s="270"/>
      <c r="M361" s="271"/>
      <c r="N361" s="272"/>
      <c r="O361" s="273"/>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2"/>
      <c r="AY361" s="532"/>
    </row>
    <row r="362" spans="1:51" s="154" customFormat="1" ht="15" x14ac:dyDescent="0.25">
      <c r="B362" s="261" t="str">
        <f>$B$31</f>
        <v>Tandem axle truck</v>
      </c>
      <c r="C362" s="458"/>
      <c r="D362" s="274">
        <f>$D$31</f>
        <v>0.39</v>
      </c>
      <c r="E362" s="274">
        <f>$E$31</f>
        <v>0.44</v>
      </c>
      <c r="F362" s="274">
        <f>$F$31</f>
        <v>0.72</v>
      </c>
      <c r="G362" s="466">
        <f>$G$31</f>
        <v>1.55</v>
      </c>
      <c r="H362" s="274">
        <f>$H$31</f>
        <v>0.56999999999999995</v>
      </c>
      <c r="I362" s="274">
        <f>$I$31</f>
        <v>0.04</v>
      </c>
      <c r="J362" s="275">
        <f>$J$31</f>
        <v>7.0000000000000007E-2</v>
      </c>
      <c r="K362" s="274">
        <f>$K$31</f>
        <v>0.24</v>
      </c>
      <c r="L362" s="275">
        <f>$L$31</f>
        <v>0.03</v>
      </c>
      <c r="M362" s="266">
        <f>$M$31</f>
        <v>0.51</v>
      </c>
      <c r="N362" s="276">
        <f t="shared" ref="N362:N367" si="84">SUM(H362,I362,K362,M362)</f>
        <v>1.3599999999999999</v>
      </c>
      <c r="O362" s="277"/>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2"/>
      <c r="AY362" s="532"/>
    </row>
    <row r="363" spans="1:51" s="154" customFormat="1" ht="15" x14ac:dyDescent="0.25">
      <c r="B363" s="261" t="str">
        <f>$B$32</f>
        <v>Tandem axle truck</v>
      </c>
      <c r="C363" s="458"/>
      <c r="D363" s="274">
        <f>$D$32</f>
        <v>0.39</v>
      </c>
      <c r="E363" s="274">
        <f>$E$32</f>
        <v>0.44</v>
      </c>
      <c r="F363" s="274">
        <f>$F$32</f>
        <v>0.72</v>
      </c>
      <c r="G363" s="466">
        <f>$G$32</f>
        <v>1.55</v>
      </c>
      <c r="H363" s="274">
        <f>$H$32</f>
        <v>0.56999999999999995</v>
      </c>
      <c r="I363" s="274">
        <f>$I$32</f>
        <v>0.04</v>
      </c>
      <c r="J363" s="275">
        <f>$J$32</f>
        <v>7.0000000000000007E-2</v>
      </c>
      <c r="K363" s="274">
        <f>$K$32</f>
        <v>0.24</v>
      </c>
      <c r="L363" s="275">
        <f>$L$32</f>
        <v>0.03</v>
      </c>
      <c r="M363" s="266">
        <f>$M$32</f>
        <v>0.51</v>
      </c>
      <c r="N363" s="276">
        <f t="shared" si="84"/>
        <v>1.3599999999999999</v>
      </c>
      <c r="O363" s="277"/>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c r="AM363" s="532"/>
      <c r="AN363" s="532"/>
      <c r="AO363" s="532"/>
      <c r="AP363" s="532"/>
      <c r="AQ363" s="532"/>
      <c r="AR363" s="532"/>
      <c r="AS363" s="532"/>
      <c r="AT363" s="532"/>
      <c r="AU363" s="532"/>
      <c r="AV363" s="532"/>
      <c r="AW363" s="532"/>
      <c r="AX363" s="532"/>
      <c r="AY363" s="532"/>
    </row>
    <row r="364" spans="1:51" s="154" customFormat="1" ht="15" x14ac:dyDescent="0.25">
      <c r="B364" s="261" t="str">
        <f>$B$33</f>
        <v>2-ton truck</v>
      </c>
      <c r="C364" s="458"/>
      <c r="D364" s="274">
        <f>$D$33</f>
        <v>0.32</v>
      </c>
      <c r="E364" s="274">
        <f>$E$33</f>
        <v>0.26</v>
      </c>
      <c r="F364" s="274">
        <f>$F$33</f>
        <v>0.42</v>
      </c>
      <c r="G364" s="466">
        <f>$G$33</f>
        <v>1</v>
      </c>
      <c r="H364" s="274">
        <f>$H$33</f>
        <v>0.28999999999999998</v>
      </c>
      <c r="I364" s="274">
        <f>$I$33</f>
        <v>0.03</v>
      </c>
      <c r="J364" s="275">
        <f>$J$33</f>
        <v>0.05</v>
      </c>
      <c r="K364" s="274">
        <f>$K$33</f>
        <v>0.17</v>
      </c>
      <c r="L364" s="275">
        <f>$L$33</f>
        <v>0.02</v>
      </c>
      <c r="M364" s="266">
        <f>$M$33</f>
        <v>0.34</v>
      </c>
      <c r="N364" s="276">
        <f t="shared" si="84"/>
        <v>0.83000000000000007</v>
      </c>
      <c r="O364" s="277"/>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c r="AM364" s="532"/>
      <c r="AN364" s="532"/>
      <c r="AO364" s="532"/>
      <c r="AP364" s="532"/>
      <c r="AQ364" s="532"/>
      <c r="AR364" s="532"/>
      <c r="AS364" s="532"/>
      <c r="AT364" s="532"/>
      <c r="AU364" s="532"/>
      <c r="AV364" s="532"/>
      <c r="AW364" s="532"/>
      <c r="AX364" s="532"/>
      <c r="AY364" s="532"/>
    </row>
    <row r="365" spans="1:51" s="154" customFormat="1" ht="15" x14ac:dyDescent="0.25">
      <c r="B365" s="261" t="str">
        <f>$B$34</f>
        <v>Trap wagon</v>
      </c>
      <c r="C365" s="458"/>
      <c r="D365" s="274">
        <f>$D$34</f>
        <v>0.35</v>
      </c>
      <c r="E365" s="274">
        <f>$E$34</f>
        <v>0.16</v>
      </c>
      <c r="F365" s="274">
        <f>$F$34</f>
        <v>0.26</v>
      </c>
      <c r="G365" s="466">
        <f>$G$34</f>
        <v>0.77</v>
      </c>
      <c r="H365" s="274">
        <f>$H$34</f>
        <v>0.12</v>
      </c>
      <c r="I365" s="274">
        <f>$I$34</f>
        <v>0.03</v>
      </c>
      <c r="J365" s="275">
        <f>$J$34</f>
        <v>0.05</v>
      </c>
      <c r="K365" s="274">
        <f>$K$34</f>
        <v>0.17</v>
      </c>
      <c r="L365" s="275">
        <f>$L$34</f>
        <v>0.02</v>
      </c>
      <c r="M365" s="266">
        <f>$M$34</f>
        <v>0.34</v>
      </c>
      <c r="N365" s="276">
        <f t="shared" si="84"/>
        <v>0.66</v>
      </c>
      <c r="O365" s="277"/>
      <c r="P365" s="532"/>
      <c r="Q365" s="532"/>
      <c r="R365" s="532"/>
      <c r="S365" s="532"/>
      <c r="T365" s="532"/>
      <c r="U365" s="532"/>
      <c r="V365" s="532"/>
      <c r="W365" s="532"/>
      <c r="X365" s="532"/>
      <c r="Y365" s="532"/>
      <c r="Z365" s="532"/>
      <c r="AA365" s="532"/>
      <c r="AB365" s="532"/>
      <c r="AC365" s="532"/>
      <c r="AD365" s="532"/>
      <c r="AE365" s="532"/>
      <c r="AF365" s="532"/>
      <c r="AG365" s="532"/>
      <c r="AH365" s="532"/>
      <c r="AI365" s="532"/>
      <c r="AJ365" s="532"/>
      <c r="AK365" s="532"/>
      <c r="AL365" s="532"/>
      <c r="AM365" s="532"/>
      <c r="AN365" s="532"/>
      <c r="AO365" s="532"/>
      <c r="AP365" s="532"/>
      <c r="AQ365" s="532"/>
      <c r="AR365" s="532"/>
      <c r="AS365" s="532"/>
      <c r="AT365" s="532"/>
      <c r="AU365" s="532"/>
      <c r="AV365" s="532"/>
      <c r="AW365" s="532"/>
      <c r="AX365" s="532"/>
      <c r="AY365" s="532"/>
    </row>
    <row r="366" spans="1:51" s="154" customFormat="1" ht="15" x14ac:dyDescent="0.25">
      <c r="B366" s="261" t="str">
        <f>$B$35</f>
        <v>3/4-ton pick-up</v>
      </c>
      <c r="C366" s="458"/>
      <c r="D366" s="274">
        <f>$D$35</f>
        <v>0.6</v>
      </c>
      <c r="E366" s="274">
        <f>$E$35</f>
        <v>0.42</v>
      </c>
      <c r="F366" s="274">
        <f>$F$35</f>
        <v>0.45</v>
      </c>
      <c r="G366" s="466">
        <f>$G$35</f>
        <v>1.47</v>
      </c>
      <c r="H366" s="274">
        <f>$H$35</f>
        <v>0.17</v>
      </c>
      <c r="I366" s="274">
        <f>$I$35</f>
        <v>0.02</v>
      </c>
      <c r="J366" s="275">
        <f>$J$35</f>
        <v>0.03</v>
      </c>
      <c r="K366" s="274">
        <f>$K$35</f>
        <v>0.11</v>
      </c>
      <c r="L366" s="275">
        <f>$L$35</f>
        <v>0.01</v>
      </c>
      <c r="M366" s="266">
        <f>$M$35</f>
        <v>0.17</v>
      </c>
      <c r="N366" s="276">
        <f t="shared" si="84"/>
        <v>0.47</v>
      </c>
      <c r="O366" s="277"/>
      <c r="P366" s="532"/>
      <c r="Q366" s="532"/>
      <c r="R366" s="532"/>
      <c r="S366" s="532"/>
      <c r="T366" s="532"/>
      <c r="U366" s="532"/>
      <c r="V366" s="532"/>
      <c r="W366" s="532"/>
      <c r="X366" s="532"/>
      <c r="Y366" s="532"/>
      <c r="Z366" s="532"/>
      <c r="AA366" s="532"/>
      <c r="AB366" s="532"/>
      <c r="AC366" s="532"/>
      <c r="AD366" s="532"/>
      <c r="AE366" s="532"/>
      <c r="AF366" s="532"/>
      <c r="AG366" s="532"/>
      <c r="AH366" s="532"/>
      <c r="AI366" s="532"/>
      <c r="AJ366" s="532"/>
      <c r="AK366" s="532"/>
      <c r="AL366" s="532"/>
      <c r="AM366" s="532"/>
      <c r="AN366" s="532"/>
      <c r="AO366" s="532"/>
      <c r="AP366" s="532"/>
      <c r="AQ366" s="532"/>
      <c r="AR366" s="532"/>
      <c r="AS366" s="532"/>
      <c r="AT366" s="532"/>
      <c r="AU366" s="532"/>
      <c r="AV366" s="532"/>
      <c r="AW366" s="532"/>
      <c r="AX366" s="532"/>
      <c r="AY366" s="532"/>
    </row>
    <row r="367" spans="1:51" s="154" customFormat="1" ht="15" x14ac:dyDescent="0.25">
      <c r="B367" s="261" t="str">
        <f>$B$36</f>
        <v>ATV</v>
      </c>
      <c r="C367" s="458"/>
      <c r="D367" s="274">
        <f>$D$36</f>
        <v>0.25</v>
      </c>
      <c r="E367" s="274">
        <f>$E$36</f>
        <v>0.14000000000000001</v>
      </c>
      <c r="F367" s="274">
        <f>$F$36</f>
        <v>0.03</v>
      </c>
      <c r="G367" s="466">
        <f>$G$36</f>
        <v>0.42000000000000004</v>
      </c>
      <c r="H367" s="274">
        <f>$H$36</f>
        <v>0.05</v>
      </c>
      <c r="I367" s="274">
        <f>$I$36</f>
        <v>0.06</v>
      </c>
      <c r="J367" s="275">
        <f>$J$36</f>
        <v>0.12</v>
      </c>
      <c r="K367" s="274">
        <f>$K$36</f>
        <v>0.42</v>
      </c>
      <c r="L367" s="275">
        <f>$L$36</f>
        <v>0.11</v>
      </c>
      <c r="M367" s="266">
        <f>$M$36</f>
        <v>1.87</v>
      </c>
      <c r="N367" s="276">
        <f t="shared" si="84"/>
        <v>2.4000000000000004</v>
      </c>
      <c r="O367" s="277"/>
      <c r="P367" s="532"/>
      <c r="Q367" s="532"/>
      <c r="R367" s="532"/>
      <c r="S367" s="532"/>
      <c r="T367" s="532"/>
      <c r="U367" s="532"/>
      <c r="V367" s="532"/>
      <c r="W367" s="532"/>
      <c r="X367" s="532"/>
      <c r="Y367" s="532"/>
      <c r="Z367" s="532"/>
      <c r="AA367" s="532"/>
      <c r="AB367" s="532"/>
      <c r="AC367" s="532"/>
      <c r="AD367" s="532"/>
      <c r="AE367" s="532"/>
      <c r="AF367" s="532"/>
      <c r="AG367" s="532"/>
      <c r="AH367" s="532"/>
      <c r="AI367" s="532"/>
      <c r="AJ367" s="532"/>
      <c r="AK367" s="532"/>
      <c r="AL367" s="532"/>
      <c r="AM367" s="532"/>
      <c r="AN367" s="532"/>
      <c r="AO367" s="532"/>
      <c r="AP367" s="532"/>
      <c r="AQ367" s="532"/>
      <c r="AR367" s="532"/>
      <c r="AS367" s="532"/>
      <c r="AT367" s="532"/>
      <c r="AU367" s="532"/>
      <c r="AV367" s="532"/>
      <c r="AW367" s="532"/>
      <c r="AX367" s="532"/>
      <c r="AY367" s="532"/>
    </row>
    <row r="368" spans="1:51" s="154" customFormat="1" ht="13.5" thickBot="1" x14ac:dyDescent="0.25">
      <c r="B368" s="692" t="str">
        <f>$B$37</f>
        <v>Cost $/Acre</v>
      </c>
      <c r="C368" s="693"/>
      <c r="D368" s="237">
        <f t="shared" ref="D368:N368" si="85">SUM(D348:D367)</f>
        <v>14.4663</v>
      </c>
      <c r="E368" s="237">
        <f t="shared" si="85"/>
        <v>12.098999999999998</v>
      </c>
      <c r="F368" s="237">
        <f t="shared" si="85"/>
        <v>6.3446999999999996</v>
      </c>
      <c r="G368" s="237">
        <f t="shared" si="85"/>
        <v>32.910000000000004</v>
      </c>
      <c r="H368" s="237">
        <f t="shared" si="85"/>
        <v>7.5681000000000012</v>
      </c>
      <c r="I368" s="237">
        <f t="shared" si="85"/>
        <v>2.11</v>
      </c>
      <c r="J368" s="159">
        <f t="shared" si="85"/>
        <v>4.0999999999999988</v>
      </c>
      <c r="K368" s="237">
        <f t="shared" si="85"/>
        <v>13.98</v>
      </c>
      <c r="L368" s="159">
        <f t="shared" si="85"/>
        <v>0.65</v>
      </c>
      <c r="M368" s="237">
        <f t="shared" si="85"/>
        <v>12.34</v>
      </c>
      <c r="N368" s="237">
        <f t="shared" si="85"/>
        <v>35.998099999999994</v>
      </c>
      <c r="O368" s="157">
        <f>SUM(G368,N368)</f>
        <v>68.90809999999999</v>
      </c>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c r="AM368" s="532"/>
      <c r="AN368" s="532"/>
      <c r="AO368" s="532"/>
      <c r="AP368" s="532"/>
      <c r="AQ368" s="532"/>
      <c r="AR368" s="532"/>
      <c r="AS368" s="532"/>
      <c r="AT368" s="532"/>
      <c r="AU368" s="532"/>
      <c r="AV368" s="532"/>
      <c r="AW368" s="532"/>
      <c r="AX368" s="532"/>
      <c r="AY368" s="532"/>
    </row>
    <row r="369" spans="1:51" s="154" customFormat="1" ht="12.75" x14ac:dyDescent="0.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c r="AM369" s="532"/>
      <c r="AN369" s="532"/>
      <c r="AO369" s="532"/>
      <c r="AP369" s="532"/>
      <c r="AQ369" s="532"/>
      <c r="AR369" s="532"/>
      <c r="AS369" s="532"/>
      <c r="AT369" s="532"/>
      <c r="AU369" s="532"/>
      <c r="AV369" s="532"/>
      <c r="AW369" s="532"/>
      <c r="AX369" s="532"/>
      <c r="AY369" s="532"/>
    </row>
    <row r="370" spans="1:51" s="121" customFormat="1" ht="12.75" x14ac:dyDescent="0.2">
      <c r="A370" s="154"/>
      <c r="B370" s="154"/>
      <c r="C370" s="154"/>
      <c r="D370" s="154"/>
      <c r="E370" s="154"/>
      <c r="F370" s="154"/>
      <c r="G370" s="154"/>
      <c r="H370" s="154"/>
      <c r="I370" s="154"/>
      <c r="J370" s="154"/>
      <c r="K370" s="154"/>
      <c r="L370" s="154"/>
      <c r="M370" s="154"/>
      <c r="N370" s="154"/>
      <c r="O370" s="154"/>
      <c r="T370" s="532"/>
      <c r="U370" s="532"/>
      <c r="V370" s="532"/>
      <c r="W370" s="532"/>
      <c r="X370" s="532"/>
      <c r="Y370" s="532"/>
      <c r="Z370" s="532"/>
      <c r="AA370" s="532"/>
      <c r="AB370" s="532"/>
    </row>
    <row r="371" spans="1:51" s="154" customFormat="1" ht="15.75" x14ac:dyDescent="0.25">
      <c r="A371" s="121"/>
      <c r="B371" s="492" t="s">
        <v>322</v>
      </c>
      <c r="C371" s="493"/>
      <c r="D371" s="493"/>
      <c r="E371" s="493"/>
      <c r="F371" s="493"/>
      <c r="G371" s="493"/>
      <c r="H371" s="493"/>
      <c r="I371" s="493"/>
      <c r="J371" s="493"/>
      <c r="K371" s="623" t="s">
        <v>526</v>
      </c>
      <c r="L371" s="493"/>
      <c r="M371" s="493"/>
      <c r="N371" s="493"/>
      <c r="O371" s="494" t="s">
        <v>527</v>
      </c>
      <c r="P371" s="198"/>
      <c r="Q371" s="532"/>
      <c r="R371" s="532"/>
      <c r="S371" s="532"/>
      <c r="T371" s="121"/>
      <c r="U371" s="532"/>
      <c r="V371" s="532"/>
      <c r="W371" s="532"/>
      <c r="X371" s="532"/>
      <c r="Y371" s="532"/>
      <c r="Z371" s="532"/>
      <c r="AA371" s="532"/>
      <c r="AB371" s="532"/>
      <c r="AC371" s="532"/>
      <c r="AD371" s="532"/>
      <c r="AE371" s="532"/>
      <c r="AF371" s="532"/>
      <c r="AG371" s="532"/>
      <c r="AH371" s="532"/>
      <c r="AI371" s="532"/>
      <c r="AJ371" s="532"/>
      <c r="AK371" s="532"/>
      <c r="AL371" s="532"/>
      <c r="AM371" s="532"/>
      <c r="AN371" s="532"/>
      <c r="AO371" s="532"/>
      <c r="AP371" s="532"/>
      <c r="AQ371" s="532"/>
      <c r="AR371" s="532"/>
      <c r="AS371" s="532"/>
      <c r="AT371" s="532"/>
      <c r="AU371" s="532"/>
      <c r="AV371" s="532"/>
      <c r="AW371" s="532"/>
      <c r="AX371" s="532"/>
      <c r="AY371" s="532"/>
    </row>
    <row r="372" spans="1:51" s="154" customFormat="1" ht="15" x14ac:dyDescent="0.25">
      <c r="B372" s="155"/>
      <c r="C372" s="455"/>
      <c r="D372" s="704" t="s">
        <v>173</v>
      </c>
      <c r="E372" s="705"/>
      <c r="F372" s="705"/>
      <c r="G372" s="706"/>
      <c r="H372" s="702" t="str">
        <f>$H$13</f>
        <v>Variable Costs</v>
      </c>
      <c r="I372" s="702">
        <f t="shared" ref="I372:N372" si="86">I325</f>
        <v>0.48</v>
      </c>
      <c r="J372" s="702">
        <f t="shared" si="86"/>
        <v>0.95</v>
      </c>
      <c r="K372" s="702">
        <f t="shared" si="86"/>
        <v>3.23</v>
      </c>
      <c r="L372" s="702">
        <f t="shared" si="86"/>
        <v>0.08</v>
      </c>
      <c r="M372" s="702">
        <f t="shared" si="86"/>
        <v>1.6</v>
      </c>
      <c r="N372" s="702">
        <f t="shared" si="86"/>
        <v>6.1</v>
      </c>
      <c r="O372" s="690" t="str">
        <f>$O$13</f>
        <v>Total Cost ($/Acre)</v>
      </c>
      <c r="P372" s="198" t="s">
        <v>417</v>
      </c>
      <c r="Q372" s="532"/>
      <c r="R372" s="532"/>
      <c r="S372" s="532"/>
      <c r="T372" s="532"/>
      <c r="U372" s="121"/>
      <c r="V372" s="121"/>
      <c r="W372" s="121"/>
      <c r="X372" s="121"/>
      <c r="Y372" s="121"/>
      <c r="Z372" s="121"/>
      <c r="AA372" s="121"/>
      <c r="AB372" s="121"/>
      <c r="AC372" s="532"/>
      <c r="AD372" s="532"/>
      <c r="AE372" s="532"/>
      <c r="AF372" s="532"/>
      <c r="AG372" s="532"/>
      <c r="AH372" s="532"/>
      <c r="AI372" s="532"/>
      <c r="AJ372" s="532"/>
      <c r="AK372" s="532"/>
      <c r="AL372" s="532"/>
      <c r="AM372" s="532"/>
      <c r="AN372" s="532"/>
      <c r="AO372" s="532"/>
      <c r="AP372" s="532"/>
      <c r="AQ372" s="532"/>
      <c r="AR372" s="532"/>
      <c r="AS372" s="532"/>
      <c r="AT372" s="532"/>
      <c r="AU372" s="532"/>
      <c r="AV372" s="532"/>
      <c r="AW372" s="532"/>
      <c r="AX372" s="532"/>
      <c r="AY372" s="532"/>
    </row>
    <row r="373" spans="1:51" s="154" customFormat="1" ht="12.75" x14ac:dyDescent="0.2">
      <c r="B373" s="714" t="str">
        <f>$B$14</f>
        <v>Operation</v>
      </c>
      <c r="C373" s="476"/>
      <c r="D373" s="694" t="str">
        <f>$D$14</f>
        <v>Depreciation</v>
      </c>
      <c r="E373" s="694" t="str">
        <f>$E$14</f>
        <v>Interest</v>
      </c>
      <c r="F373" s="694" t="str">
        <f>$F$14</f>
        <v>Taxes, housing, insurance, licenses</v>
      </c>
      <c r="G373" s="690" t="str">
        <f>$G$14</f>
        <v>Total Fixed Costs</v>
      </c>
      <c r="H373" s="694" t="str">
        <f>$H$14</f>
        <v>Repairs</v>
      </c>
      <c r="I373" s="694" t="str">
        <f>$I$14</f>
        <v>Lube Cost</v>
      </c>
      <c r="J373" s="703" t="str">
        <f>$J$14</f>
        <v>Fuel</v>
      </c>
      <c r="K373" s="703">
        <f>K322</f>
        <v>0</v>
      </c>
      <c r="L373" s="703" t="str">
        <f>$L$14</f>
        <v>Labor</v>
      </c>
      <c r="M373" s="703">
        <f>M322</f>
        <v>0</v>
      </c>
      <c r="N373" s="690" t="str">
        <f>$N$14</f>
        <v>Total Variable Costs</v>
      </c>
      <c r="O373" s="713"/>
      <c r="P373" s="590" t="s">
        <v>459</v>
      </c>
      <c r="Q373" s="532"/>
      <c r="R373" s="532"/>
      <c r="S373" s="532"/>
      <c r="T373" s="532"/>
      <c r="U373" s="532"/>
      <c r="V373" s="532"/>
      <c r="W373" s="532"/>
      <c r="X373" s="532"/>
      <c r="Y373" s="532"/>
      <c r="Z373" s="532"/>
      <c r="AA373" s="532"/>
      <c r="AB373" s="532"/>
      <c r="AC373" s="532"/>
      <c r="AD373" s="532"/>
      <c r="AE373" s="532"/>
      <c r="AF373" s="532"/>
      <c r="AG373" s="532"/>
      <c r="AH373" s="532"/>
      <c r="AI373" s="532"/>
      <c r="AJ373" s="532"/>
      <c r="AK373" s="532"/>
      <c r="AL373" s="532"/>
      <c r="AM373" s="532"/>
      <c r="AN373" s="532"/>
      <c r="AO373" s="532"/>
      <c r="AP373" s="532"/>
      <c r="AQ373" s="532"/>
      <c r="AR373" s="532"/>
      <c r="AS373" s="532"/>
      <c r="AT373" s="532"/>
      <c r="AU373" s="532"/>
      <c r="AV373" s="532"/>
      <c r="AW373" s="532"/>
      <c r="AX373" s="532"/>
      <c r="AY373" s="532"/>
    </row>
    <row r="374" spans="1:51" s="154" customFormat="1" ht="39" customHeight="1" x14ac:dyDescent="0.2">
      <c r="B374" s="715" t="str">
        <f>B327</f>
        <v>300HP Tractor &amp; 36' cultivator</v>
      </c>
      <c r="C374" s="475" t="s">
        <v>208</v>
      </c>
      <c r="D374" s="695"/>
      <c r="E374" s="695"/>
      <c r="F374" s="695"/>
      <c r="G374" s="691"/>
      <c r="H374" s="700">
        <f>H327</f>
        <v>0</v>
      </c>
      <c r="I374" s="700">
        <f>I327</f>
        <v>0</v>
      </c>
      <c r="J374" s="474" t="str">
        <f>$J$15</f>
        <v>Fuel Use gal/acre</v>
      </c>
      <c r="K374" s="474" t="str">
        <f>$K$15</f>
        <v>Fuel Cost</v>
      </c>
      <c r="L374" s="474" t="str">
        <f>$L$15</f>
        <v>Labor hrs/acre</v>
      </c>
      <c r="M374" s="474" t="str">
        <f>$M$15</f>
        <v>Labor Cost</v>
      </c>
      <c r="N374" s="691"/>
      <c r="O374" s="691"/>
      <c r="P374" s="532"/>
      <c r="Q374" s="532"/>
      <c r="R374" s="532"/>
      <c r="S374" s="532"/>
      <c r="T374" s="532"/>
      <c r="U374" s="532"/>
      <c r="V374" s="532"/>
      <c r="W374" s="532"/>
      <c r="X374" s="532"/>
      <c r="Y374" s="532"/>
      <c r="Z374" s="532"/>
      <c r="AA374" s="532"/>
      <c r="AB374" s="532"/>
      <c r="AC374" s="532"/>
      <c r="AD374" s="532"/>
      <c r="AE374" s="532"/>
      <c r="AF374" s="532"/>
      <c r="AG374" s="532"/>
      <c r="AH374" s="532"/>
      <c r="AI374" s="532"/>
      <c r="AJ374" s="532"/>
      <c r="AK374" s="532"/>
      <c r="AL374" s="532"/>
      <c r="AM374" s="532"/>
      <c r="AN374" s="532"/>
      <c r="AO374" s="532"/>
      <c r="AP374" s="532"/>
      <c r="AQ374" s="532"/>
      <c r="AR374" s="532"/>
      <c r="AS374" s="532"/>
      <c r="AT374" s="532"/>
      <c r="AU374" s="532"/>
      <c r="AV374" s="532"/>
      <c r="AW374" s="532"/>
      <c r="AX374" s="532"/>
      <c r="AY374" s="532"/>
    </row>
    <row r="375" spans="1:51" s="154" customFormat="1" ht="12.75" x14ac:dyDescent="0.2">
      <c r="B375" s="165" t="str">
        <f>$B$16</f>
        <v>Seasonal operations:</v>
      </c>
      <c r="C375" s="457"/>
      <c r="D375" s="460"/>
      <c r="E375" s="460"/>
      <c r="F375" s="460"/>
      <c r="G375" s="461"/>
      <c r="H375" s="166"/>
      <c r="I375" s="166"/>
      <c r="J375" s="170"/>
      <c r="K375" s="170"/>
      <c r="L375" s="170"/>
      <c r="M375" s="170"/>
      <c r="N375" s="171"/>
      <c r="O375" s="167"/>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c r="AM375" s="532"/>
      <c r="AN375" s="532"/>
      <c r="AO375" s="532"/>
      <c r="AP375" s="532"/>
      <c r="AQ375" s="532"/>
      <c r="AR375" s="532"/>
      <c r="AS375" s="532"/>
      <c r="AT375" s="532"/>
      <c r="AU375" s="532"/>
      <c r="AV375" s="532"/>
      <c r="AW375" s="532"/>
      <c r="AX375" s="532"/>
      <c r="AY375" s="532"/>
    </row>
    <row r="376" spans="1:51" ht="15" x14ac:dyDescent="0.25">
      <c r="A376" s="532"/>
      <c r="B376" s="164" t="str">
        <f>$B$17</f>
        <v>Self-propelled sprayer</v>
      </c>
      <c r="C376" s="459">
        <v>2</v>
      </c>
      <c r="D376" s="173">
        <f>$D$17*$C376</f>
        <v>3.64</v>
      </c>
      <c r="E376" s="173">
        <f>$E$17*$C376</f>
        <v>3.76</v>
      </c>
      <c r="F376" s="173">
        <f>$F$17*$C376</f>
        <v>1.86</v>
      </c>
      <c r="G376" s="464">
        <f>SUM(D376:F376)</f>
        <v>9.26</v>
      </c>
      <c r="H376" s="173">
        <f>$H$17*$C376</f>
        <v>0.88</v>
      </c>
      <c r="I376" s="173">
        <f>$I$17*$C376</f>
        <v>0.04</v>
      </c>
      <c r="J376" s="174">
        <f>$J$17*$C376</f>
        <v>0.08</v>
      </c>
      <c r="K376" s="173">
        <f>$K$17*$C376</f>
        <v>0.28000000000000003</v>
      </c>
      <c r="L376" s="174">
        <f>$L$17*$C376</f>
        <v>0.04</v>
      </c>
      <c r="M376" s="175">
        <f>$M$17*$C376</f>
        <v>0.8</v>
      </c>
      <c r="N376" s="239">
        <f t="shared" ref="N376:N381" si="87">SUM(H376,I376,K376,M376)</f>
        <v>2</v>
      </c>
      <c r="O376" s="176"/>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c r="AM376" s="532"/>
      <c r="AN376" s="532"/>
      <c r="AO376" s="532"/>
      <c r="AP376" s="532"/>
      <c r="AQ376" s="532"/>
      <c r="AR376" s="532"/>
      <c r="AS376" s="532"/>
      <c r="AT376" s="532"/>
      <c r="AU376" s="532"/>
      <c r="AV376" s="532"/>
      <c r="AW376" s="532"/>
      <c r="AX376" s="532"/>
      <c r="AY376" s="532"/>
    </row>
    <row r="377" spans="1:51" ht="15" x14ac:dyDescent="0.25">
      <c r="A377" s="532"/>
      <c r="B377" s="164" t="str">
        <f>$B$18</f>
        <v>300HP Tractor &amp; 90' sprayer</v>
      </c>
      <c r="C377" s="459">
        <v>0</v>
      </c>
      <c r="D377" s="173">
        <f>$D$18*$C377</f>
        <v>0</v>
      </c>
      <c r="E377" s="173">
        <f>$E$18*$C377</f>
        <v>0</v>
      </c>
      <c r="F377" s="173">
        <f>$F$18*$C377</f>
        <v>0</v>
      </c>
      <c r="G377" s="464">
        <f>SUM(D377:F377)</f>
        <v>0</v>
      </c>
      <c r="H377" s="173">
        <f>$H$18*$C377</f>
        <v>0</v>
      </c>
      <c r="I377" s="173">
        <f>$I$18*$C377</f>
        <v>0</v>
      </c>
      <c r="J377" s="174">
        <f>$J$18*$C377</f>
        <v>0</v>
      </c>
      <c r="K377" s="173">
        <f>$K$18*$C377</f>
        <v>0</v>
      </c>
      <c r="L377" s="174">
        <f>$L$18*$C377</f>
        <v>0</v>
      </c>
      <c r="M377" s="175">
        <f>$M$18*$C377</f>
        <v>0</v>
      </c>
      <c r="N377" s="239">
        <f t="shared" si="87"/>
        <v>0</v>
      </c>
      <c r="O377" s="176"/>
      <c r="P377" s="532"/>
      <c r="Q377" s="532"/>
      <c r="R377" s="532"/>
      <c r="S377" s="532"/>
      <c r="T377" s="532"/>
      <c r="U377" s="532"/>
      <c r="V377" s="532"/>
      <c r="W377" s="532"/>
      <c r="X377" s="532"/>
      <c r="Y377" s="532"/>
      <c r="Z377" s="532"/>
      <c r="AA377" s="532"/>
      <c r="AB377" s="532"/>
      <c r="AC377" s="532"/>
      <c r="AD377" s="532"/>
      <c r="AE377" s="532"/>
      <c r="AF377" s="532"/>
      <c r="AG377" s="532"/>
      <c r="AH377" s="532"/>
      <c r="AI377" s="532"/>
      <c r="AJ377" s="532"/>
      <c r="AK377" s="532"/>
      <c r="AL377" s="532"/>
      <c r="AM377" s="532"/>
      <c r="AN377" s="532"/>
      <c r="AO377" s="532"/>
      <c r="AP377" s="532"/>
      <c r="AQ377" s="532"/>
      <c r="AR377" s="532"/>
      <c r="AS377" s="532"/>
      <c r="AT377" s="532"/>
      <c r="AU377" s="532"/>
      <c r="AV377" s="532"/>
      <c r="AW377" s="532"/>
      <c r="AX377" s="532"/>
      <c r="AY377" s="532"/>
    </row>
    <row r="378" spans="1:51" s="154" customFormat="1" ht="15" x14ac:dyDescent="0.25">
      <c r="B378" s="156" t="str">
        <f>$B$19</f>
        <v>300HP Tractor &amp; 48' rodweeder</v>
      </c>
      <c r="C378" s="459">
        <v>0</v>
      </c>
      <c r="D378" s="173">
        <f>$D$19*$C378</f>
        <v>0</v>
      </c>
      <c r="E378" s="173">
        <f>$E$19*$C378</f>
        <v>0</v>
      </c>
      <c r="F378" s="173">
        <f>$F$19*$C378</f>
        <v>0</v>
      </c>
      <c r="G378" s="464">
        <f>SUM(D378:F378)</f>
        <v>0</v>
      </c>
      <c r="H378" s="173">
        <f>$H$19*$C378</f>
        <v>0</v>
      </c>
      <c r="I378" s="173">
        <f>$I$19*$C378</f>
        <v>0</v>
      </c>
      <c r="J378" s="174">
        <f>$J$19*$C378</f>
        <v>0</v>
      </c>
      <c r="K378" s="173">
        <f>$K$19*$C378</f>
        <v>0</v>
      </c>
      <c r="L378" s="174">
        <f>$L$19*$C378</f>
        <v>0</v>
      </c>
      <c r="M378" s="175">
        <f>$M$19*$C378</f>
        <v>0</v>
      </c>
      <c r="N378" s="239">
        <f t="shared" si="87"/>
        <v>0</v>
      </c>
      <c r="O378" s="176"/>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c r="AM378" s="532"/>
      <c r="AN378" s="532"/>
      <c r="AO378" s="532"/>
      <c r="AP378" s="532"/>
      <c r="AQ378" s="532"/>
      <c r="AR378" s="532"/>
      <c r="AS378" s="532"/>
      <c r="AT378" s="532"/>
      <c r="AU378" s="532"/>
      <c r="AV378" s="532"/>
      <c r="AW378" s="532"/>
      <c r="AX378" s="532"/>
      <c r="AY378" s="532"/>
    </row>
    <row r="379" spans="1:51" s="154" customFormat="1" ht="15" x14ac:dyDescent="0.25">
      <c r="B379" s="164" t="str">
        <f>$B$20</f>
        <v>300HP Tractor &amp; 26' shredder</v>
      </c>
      <c r="C379" s="459">
        <v>0</v>
      </c>
      <c r="D379" s="173">
        <f>$D$20*$C379</f>
        <v>0</v>
      </c>
      <c r="E379" s="173">
        <f>$E$20*$C379</f>
        <v>0</v>
      </c>
      <c r="F379" s="173">
        <f>$F$20*$C379</f>
        <v>0</v>
      </c>
      <c r="G379" s="464">
        <f>SUM(D379:F379)</f>
        <v>0</v>
      </c>
      <c r="H379" s="173">
        <f>$H$20*$C379</f>
        <v>0</v>
      </c>
      <c r="I379" s="173">
        <f>$I$20*$C379</f>
        <v>0</v>
      </c>
      <c r="J379" s="174">
        <f>$J$20*$C379</f>
        <v>0</v>
      </c>
      <c r="K379" s="173">
        <f>$K$20*$C379</f>
        <v>0</v>
      </c>
      <c r="L379" s="174">
        <f>$L$20*$C379</f>
        <v>0</v>
      </c>
      <c r="M379" s="175">
        <f>$M$20*$C379</f>
        <v>0</v>
      </c>
      <c r="N379" s="239">
        <f t="shared" si="87"/>
        <v>0</v>
      </c>
      <c r="O379" s="176"/>
      <c r="P379" s="532"/>
      <c r="Q379" s="532"/>
      <c r="R379" s="532"/>
      <c r="S379" s="532"/>
      <c r="T379" s="532"/>
      <c r="U379" s="532"/>
      <c r="V379" s="532"/>
      <c r="W379" s="532"/>
      <c r="X379" s="532"/>
      <c r="Y379" s="532"/>
      <c r="Z379" s="532"/>
      <c r="AA379" s="532"/>
      <c r="AB379" s="532"/>
      <c r="AC379" s="532"/>
      <c r="AD379" s="532"/>
      <c r="AE379" s="532"/>
      <c r="AF379" s="532"/>
      <c r="AG379" s="532"/>
      <c r="AH379" s="532"/>
      <c r="AI379" s="532"/>
      <c r="AJ379" s="532"/>
      <c r="AK379" s="532"/>
      <c r="AL379" s="532"/>
      <c r="AM379" s="532"/>
      <c r="AN379" s="532"/>
      <c r="AO379" s="532"/>
      <c r="AP379" s="532"/>
      <c r="AQ379" s="532"/>
      <c r="AR379" s="532"/>
      <c r="AS379" s="532"/>
      <c r="AT379" s="532"/>
      <c r="AU379" s="532"/>
      <c r="AV379" s="532"/>
      <c r="AW379" s="532"/>
      <c r="AX379" s="532"/>
      <c r="AY379" s="532"/>
    </row>
    <row r="380" spans="1:51" s="154" customFormat="1" ht="15" x14ac:dyDescent="0.25">
      <c r="B380" s="164" t="str">
        <f>$B$21</f>
        <v>300HP Tractor &amp; 34' tandem disk</v>
      </c>
      <c r="C380" s="459">
        <v>0</v>
      </c>
      <c r="D380" s="173">
        <f>$D$21*$C380</f>
        <v>0</v>
      </c>
      <c r="E380" s="173">
        <f>$E$21*$C380</f>
        <v>0</v>
      </c>
      <c r="F380" s="173">
        <f>$F$21*$C380</f>
        <v>0</v>
      </c>
      <c r="G380" s="464">
        <f t="shared" ref="G380:G388" si="88">SUM(D380:F380)</f>
        <v>0</v>
      </c>
      <c r="H380" s="173">
        <f>$H$21*$C380</f>
        <v>0</v>
      </c>
      <c r="I380" s="173">
        <f>$I$21*$C380</f>
        <v>0</v>
      </c>
      <c r="J380" s="174">
        <f>$J$21*$C380</f>
        <v>0</v>
      </c>
      <c r="K380" s="173">
        <f>$K$21*$C380</f>
        <v>0</v>
      </c>
      <c r="L380" s="174">
        <f>$L$21*$C380</f>
        <v>0</v>
      </c>
      <c r="M380" s="175">
        <f>$M$21*$C380</f>
        <v>0</v>
      </c>
      <c r="N380" s="239">
        <f t="shared" si="87"/>
        <v>0</v>
      </c>
      <c r="O380" s="176"/>
      <c r="P380" s="532"/>
      <c r="Q380" s="532"/>
      <c r="R380" s="532"/>
      <c r="S380" s="532"/>
      <c r="T380" s="532"/>
      <c r="U380" s="532"/>
      <c r="V380" s="532"/>
      <c r="W380" s="532"/>
      <c r="X380" s="532"/>
      <c r="Y380" s="532"/>
      <c r="Z380" s="532"/>
      <c r="AA380" s="532"/>
      <c r="AB380" s="532"/>
      <c r="AC380" s="532"/>
      <c r="AD380" s="532"/>
      <c r="AE380" s="532"/>
      <c r="AF380" s="532"/>
      <c r="AG380" s="532"/>
      <c r="AH380" s="532"/>
      <c r="AI380" s="532"/>
      <c r="AJ380" s="532"/>
      <c r="AK380" s="532"/>
      <c r="AL380" s="532"/>
      <c r="AM380" s="532"/>
      <c r="AN380" s="532"/>
      <c r="AO380" s="532"/>
      <c r="AP380" s="532"/>
      <c r="AQ380" s="532"/>
      <c r="AR380" s="532"/>
      <c r="AS380" s="532"/>
      <c r="AT380" s="532"/>
      <c r="AU380" s="532"/>
      <c r="AV380" s="532"/>
      <c r="AW380" s="532"/>
      <c r="AX380" s="532"/>
      <c r="AY380" s="532"/>
    </row>
    <row r="381" spans="1:51" ht="15" x14ac:dyDescent="0.25">
      <c r="A381" s="532"/>
      <c r="B381" s="164" t="str">
        <f>$B$22</f>
        <v>300HP Tractor &amp; 36' cultiweeder</v>
      </c>
      <c r="C381" s="459">
        <v>1</v>
      </c>
      <c r="D381" s="173">
        <f>$D$22*$C381</f>
        <v>1.42</v>
      </c>
      <c r="E381" s="173">
        <f>$E$22*$C381</f>
        <v>0.92</v>
      </c>
      <c r="F381" s="173">
        <f>$F$22*$C381</f>
        <v>0.15</v>
      </c>
      <c r="G381" s="464">
        <f>SUM(D381:F381)</f>
        <v>2.4899999999999998</v>
      </c>
      <c r="H381" s="173">
        <f>$H$22*$C381</f>
        <v>0.41</v>
      </c>
      <c r="I381" s="173">
        <f>$I$22*$C381</f>
        <v>0.28000000000000003</v>
      </c>
      <c r="J381" s="174">
        <f>$J$22*$C381</f>
        <v>0.55000000000000004</v>
      </c>
      <c r="K381" s="173">
        <f>$K$22*$C381</f>
        <v>1.87</v>
      </c>
      <c r="L381" s="174">
        <f>$L$22*$C381</f>
        <v>0.04</v>
      </c>
      <c r="M381" s="175">
        <f>$M$22*$C381</f>
        <v>0.8</v>
      </c>
      <c r="N381" s="239">
        <f t="shared" si="87"/>
        <v>3.3600000000000003</v>
      </c>
      <c r="O381" s="176"/>
      <c r="P381" s="532"/>
      <c r="Q381" s="532"/>
      <c r="R381" s="532"/>
      <c r="S381" s="532"/>
      <c r="T381" s="532"/>
      <c r="U381" s="532"/>
      <c r="V381" s="532"/>
      <c r="W381" s="532"/>
      <c r="X381" s="532"/>
      <c r="Y381" s="532"/>
      <c r="Z381" s="532"/>
      <c r="AA381" s="532"/>
      <c r="AB381" s="532"/>
      <c r="AC381" s="532"/>
      <c r="AD381" s="532"/>
      <c r="AE381" s="532"/>
      <c r="AF381" s="532"/>
      <c r="AG381" s="532"/>
      <c r="AH381" s="532"/>
      <c r="AI381" s="532"/>
      <c r="AJ381" s="532"/>
      <c r="AK381" s="532"/>
      <c r="AL381" s="532"/>
      <c r="AM381" s="532"/>
      <c r="AN381" s="532"/>
      <c r="AO381" s="532"/>
      <c r="AP381" s="532"/>
      <c r="AQ381" s="532"/>
      <c r="AR381" s="532"/>
      <c r="AS381" s="532"/>
      <c r="AT381" s="532"/>
      <c r="AU381" s="532"/>
      <c r="AV381" s="532"/>
      <c r="AW381" s="532"/>
      <c r="AX381" s="532"/>
      <c r="AY381" s="532"/>
    </row>
    <row r="382" spans="1:51" s="154" customFormat="1" ht="15" x14ac:dyDescent="0.25">
      <c r="B382" s="156" t="str">
        <f>$B$23</f>
        <v>300HP Tractor &amp; 35' chisel plow</v>
      </c>
      <c r="C382" s="459">
        <v>1</v>
      </c>
      <c r="D382" s="173">
        <f>$D$23*$C382</f>
        <v>2.17</v>
      </c>
      <c r="E382" s="173">
        <f>$E$23*$C382</f>
        <v>1.41</v>
      </c>
      <c r="F382" s="173">
        <f>$F$23*$C382</f>
        <v>0.24</v>
      </c>
      <c r="G382" s="464">
        <f t="shared" si="88"/>
        <v>3.8200000000000003</v>
      </c>
      <c r="H382" s="173">
        <f>$H$23*$C382</f>
        <v>0.79</v>
      </c>
      <c r="I382" s="173">
        <f>$I$23*$C382</f>
        <v>0.48</v>
      </c>
      <c r="J382" s="174">
        <f>$J$23*$C382</f>
        <v>0.95</v>
      </c>
      <c r="K382" s="173">
        <f>$K$23*$C382</f>
        <v>3.23</v>
      </c>
      <c r="L382" s="174">
        <f>$L$23*$C382</f>
        <v>0.08</v>
      </c>
      <c r="M382" s="175">
        <f>$M$23*$C382</f>
        <v>1.6</v>
      </c>
      <c r="N382" s="239">
        <f t="shared" ref="N382:N388" si="89">SUM(H382,I382,K382,M382)</f>
        <v>6.1</v>
      </c>
      <c r="O382" s="176"/>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c r="AM382" s="532"/>
      <c r="AN382" s="532"/>
      <c r="AO382" s="532"/>
      <c r="AP382" s="532"/>
      <c r="AQ382" s="532"/>
      <c r="AR382" s="532"/>
      <c r="AS382" s="532"/>
      <c r="AT382" s="532"/>
      <c r="AU382" s="532"/>
      <c r="AV382" s="532"/>
      <c r="AW382" s="532"/>
      <c r="AX382" s="532"/>
      <c r="AY382" s="532"/>
    </row>
    <row r="383" spans="1:51" s="154" customFormat="1" ht="15" x14ac:dyDescent="0.25">
      <c r="B383" s="156" t="str">
        <f>$B$24</f>
        <v>300HP Tractor &amp; 36' cultivator</v>
      </c>
      <c r="C383" s="459">
        <v>0</v>
      </c>
      <c r="D383" s="173">
        <f>$D$24*$C383</f>
        <v>0</v>
      </c>
      <c r="E383" s="173">
        <f>$E$24*$C383</f>
        <v>0</v>
      </c>
      <c r="F383" s="173">
        <f>$F$24*$C383</f>
        <v>0</v>
      </c>
      <c r="G383" s="464">
        <f t="shared" si="88"/>
        <v>0</v>
      </c>
      <c r="H383" s="173">
        <f>$H$24*$C383</f>
        <v>0</v>
      </c>
      <c r="I383" s="173">
        <f>$I$24*$C383</f>
        <v>0</v>
      </c>
      <c r="J383" s="174">
        <f>$J$24*$C383</f>
        <v>0</v>
      </c>
      <c r="K383" s="173">
        <f>$K$24*$C383</f>
        <v>0</v>
      </c>
      <c r="L383" s="174">
        <f>$L$24*$C383</f>
        <v>0</v>
      </c>
      <c r="M383" s="175">
        <f>$M$24*$C383</f>
        <v>0</v>
      </c>
      <c r="N383" s="239">
        <f t="shared" si="89"/>
        <v>0</v>
      </c>
      <c r="O383" s="176"/>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c r="AM383" s="532"/>
      <c r="AN383" s="532"/>
      <c r="AO383" s="532"/>
      <c r="AP383" s="532"/>
      <c r="AQ383" s="532"/>
      <c r="AR383" s="532"/>
      <c r="AS383" s="532"/>
      <c r="AT383" s="532"/>
      <c r="AU383" s="532"/>
      <c r="AV383" s="532"/>
      <c r="AW383" s="532"/>
      <c r="AX383" s="532"/>
      <c r="AY383" s="532"/>
    </row>
    <row r="384" spans="1:51" s="154" customFormat="1" ht="15" x14ac:dyDescent="0.25">
      <c r="B384" s="156" t="str">
        <f>$B$25</f>
        <v>300HP Tractor &amp; 48' spring tooth harrow</v>
      </c>
      <c r="C384" s="459">
        <v>0</v>
      </c>
      <c r="D384" s="173">
        <f>$D$25*$C384</f>
        <v>0</v>
      </c>
      <c r="E384" s="173">
        <f>$E$25*$C384</f>
        <v>0</v>
      </c>
      <c r="F384" s="173">
        <f>$F$25*$C384</f>
        <v>0</v>
      </c>
      <c r="G384" s="464">
        <f t="shared" si="88"/>
        <v>0</v>
      </c>
      <c r="H384" s="173">
        <f>$H$25*$C384</f>
        <v>0</v>
      </c>
      <c r="I384" s="173">
        <f>$I$25*$C384</f>
        <v>0</v>
      </c>
      <c r="J384" s="174">
        <f>$J$25*$C384</f>
        <v>0</v>
      </c>
      <c r="K384" s="173">
        <f>$K$25*$C384</f>
        <v>0</v>
      </c>
      <c r="L384" s="174">
        <f>$L$25*$C384</f>
        <v>0</v>
      </c>
      <c r="M384" s="175">
        <f>$M$25*$C384</f>
        <v>0</v>
      </c>
      <c r="N384" s="239">
        <f t="shared" si="89"/>
        <v>0</v>
      </c>
      <c r="O384" s="176"/>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c r="AM384" s="532"/>
      <c r="AN384" s="532"/>
      <c r="AO384" s="532"/>
      <c r="AP384" s="532"/>
      <c r="AQ384" s="532"/>
      <c r="AR384" s="532"/>
      <c r="AS384" s="532"/>
      <c r="AT384" s="532"/>
      <c r="AU384" s="532"/>
      <c r="AV384" s="532"/>
      <c r="AW384" s="532"/>
      <c r="AX384" s="532"/>
      <c r="AY384" s="532"/>
    </row>
    <row r="385" spans="1:51" s="154" customFormat="1" ht="15" x14ac:dyDescent="0.25">
      <c r="B385" s="156" t="str">
        <f>$B$26</f>
        <v>300HP Tractor &amp; 36' grain drill</v>
      </c>
      <c r="C385" s="459">
        <v>1</v>
      </c>
      <c r="D385" s="173">
        <f>$D$26*$C385</f>
        <v>1.54</v>
      </c>
      <c r="E385" s="173">
        <f>$E$26*$C385</f>
        <v>1.4</v>
      </c>
      <c r="F385" s="173">
        <f>$F$26*$C385</f>
        <v>0.49</v>
      </c>
      <c r="G385" s="464">
        <f t="shared" si="88"/>
        <v>3.4299999999999997</v>
      </c>
      <c r="H385" s="173">
        <f>$H$26*$C385</f>
        <v>1.02</v>
      </c>
      <c r="I385" s="173">
        <f>$I$26*$C385</f>
        <v>0.56999999999999995</v>
      </c>
      <c r="J385" s="174">
        <f>$J$26*$C385</f>
        <v>1.1200000000000001</v>
      </c>
      <c r="K385" s="173">
        <f>$K$26*$C385</f>
        <v>3.81</v>
      </c>
      <c r="L385" s="174">
        <f>$L$26*$C385</f>
        <v>0.09</v>
      </c>
      <c r="M385" s="175">
        <f>$M$26*$C385</f>
        <v>1.8</v>
      </c>
      <c r="N385" s="239">
        <f t="shared" si="89"/>
        <v>7.2</v>
      </c>
      <c r="O385" s="176"/>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c r="AM385" s="532"/>
      <c r="AN385" s="532"/>
      <c r="AO385" s="532"/>
      <c r="AP385" s="532"/>
      <c r="AQ385" s="532"/>
      <c r="AR385" s="532"/>
      <c r="AS385" s="532"/>
      <c r="AT385" s="532"/>
      <c r="AU385" s="532"/>
      <c r="AV385" s="532"/>
      <c r="AW385" s="532"/>
      <c r="AX385" s="532"/>
      <c r="AY385" s="532"/>
    </row>
    <row r="386" spans="1:51" s="154" customFormat="1" ht="15" x14ac:dyDescent="0.25">
      <c r="B386" s="168" t="str">
        <f>$B$27</f>
        <v>Combine &amp; 30' header  *4 mph harvest speed*</v>
      </c>
      <c r="C386" s="459">
        <v>1</v>
      </c>
      <c r="D386" s="173">
        <f>$D$27*$C386</f>
        <v>2.48</v>
      </c>
      <c r="E386" s="173">
        <f>$E$27*$C386</f>
        <v>2.21</v>
      </c>
      <c r="F386" s="173">
        <f>$F$27*$C386</f>
        <v>0.92</v>
      </c>
      <c r="G386" s="464">
        <f t="shared" si="88"/>
        <v>5.6099999999999994</v>
      </c>
      <c r="H386" s="173">
        <f>$H$27*$C386</f>
        <v>2.29</v>
      </c>
      <c r="I386" s="173">
        <f>$I$27*$C386</f>
        <v>0.27</v>
      </c>
      <c r="J386" s="174">
        <f>$J$27*$C386</f>
        <v>0.52</v>
      </c>
      <c r="K386" s="173">
        <f>$K$27*$C386</f>
        <v>1.77</v>
      </c>
      <c r="L386" s="174">
        <f>$L$27*$C386</f>
        <v>0.09</v>
      </c>
      <c r="M386" s="175">
        <f>$M$27*$C386</f>
        <v>1.8</v>
      </c>
      <c r="N386" s="239">
        <f t="shared" si="89"/>
        <v>6.13</v>
      </c>
      <c r="O386" s="176"/>
      <c r="P386" s="533"/>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c r="AM386" s="532"/>
      <c r="AN386" s="532"/>
      <c r="AO386" s="532"/>
      <c r="AP386" s="532"/>
      <c r="AQ386" s="532"/>
      <c r="AR386" s="532"/>
      <c r="AS386" s="532"/>
      <c r="AT386" s="532"/>
      <c r="AU386" s="532"/>
      <c r="AV386" s="532"/>
      <c r="AW386" s="532"/>
      <c r="AX386" s="532"/>
      <c r="AY386" s="532"/>
    </row>
    <row r="387" spans="1:51" ht="15" x14ac:dyDescent="0.25">
      <c r="A387" s="532"/>
      <c r="B387" s="168" t="str">
        <f>$B$28</f>
        <v>Combine &amp; 30' header *3 mph harvest speed*</v>
      </c>
      <c r="C387" s="459">
        <v>0</v>
      </c>
      <c r="D387" s="173">
        <f>$D$28*$C387</f>
        <v>0</v>
      </c>
      <c r="E387" s="173">
        <f>$E$28*$C387</f>
        <v>0</v>
      </c>
      <c r="F387" s="173">
        <f>$F$28*$C387</f>
        <v>0</v>
      </c>
      <c r="G387" s="464">
        <f>SUM(D387:F387)</f>
        <v>0</v>
      </c>
      <c r="H387" s="173">
        <f>$H$28*$C387</f>
        <v>0</v>
      </c>
      <c r="I387" s="173">
        <f>$I$28*$C387</f>
        <v>0</v>
      </c>
      <c r="J387" s="174">
        <f>$J$28*$C387</f>
        <v>0</v>
      </c>
      <c r="K387" s="173">
        <f>$K$28*$C387</f>
        <v>0</v>
      </c>
      <c r="L387" s="174">
        <f>$L$28*$C387</f>
        <v>0</v>
      </c>
      <c r="M387" s="175">
        <f>$M$28*$C387</f>
        <v>0</v>
      </c>
      <c r="N387" s="239">
        <f t="shared" si="89"/>
        <v>0</v>
      </c>
      <c r="O387" s="176"/>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c r="AM387" s="532"/>
      <c r="AN387" s="532"/>
      <c r="AO387" s="532"/>
      <c r="AP387" s="532"/>
      <c r="AQ387" s="532"/>
      <c r="AR387" s="532"/>
      <c r="AS387" s="532"/>
      <c r="AT387" s="532"/>
      <c r="AU387" s="532"/>
      <c r="AV387" s="532"/>
      <c r="AW387" s="532"/>
      <c r="AX387" s="532"/>
      <c r="AY387" s="532"/>
    </row>
    <row r="388" spans="1:51" s="154" customFormat="1" ht="15" x14ac:dyDescent="0.25">
      <c r="B388" s="168" t="str">
        <f>$B$29</f>
        <v>300HP Tractor &amp; Bankout wagon</v>
      </c>
      <c r="C388" s="459">
        <v>1</v>
      </c>
      <c r="D388" s="173">
        <f>$D$29*$C388</f>
        <v>0.9163</v>
      </c>
      <c r="E388" s="173">
        <f>$E$29*$C388</f>
        <v>0.53899999999999992</v>
      </c>
      <c r="F388" s="173">
        <f>$F$29*$C388</f>
        <v>8.4699999999999998E-2</v>
      </c>
      <c r="G388" s="464">
        <f t="shared" si="88"/>
        <v>1.5399999999999998</v>
      </c>
      <c r="H388" s="173">
        <f>$H$29*$C388</f>
        <v>0.40810000000000002</v>
      </c>
      <c r="I388" s="173">
        <f>$I$29*$C388</f>
        <v>0.25</v>
      </c>
      <c r="J388" s="174">
        <f>$J$29*$C388</f>
        <v>0.49</v>
      </c>
      <c r="K388" s="173">
        <f>$K$29*$C388</f>
        <v>1.67</v>
      </c>
      <c r="L388" s="174">
        <f>$L$29*$C388</f>
        <v>0.09</v>
      </c>
      <c r="M388" s="175">
        <f>$M$29*$C388</f>
        <v>1.8</v>
      </c>
      <c r="N388" s="239">
        <f t="shared" si="89"/>
        <v>4.1280999999999999</v>
      </c>
      <c r="O388" s="176"/>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c r="AM388" s="532"/>
      <c r="AN388" s="532"/>
      <c r="AO388" s="532"/>
      <c r="AP388" s="532"/>
      <c r="AQ388" s="532"/>
      <c r="AR388" s="532"/>
      <c r="AS388" s="532"/>
      <c r="AT388" s="532"/>
      <c r="AU388" s="532"/>
      <c r="AV388" s="532"/>
      <c r="AW388" s="532"/>
      <c r="AX388" s="532"/>
      <c r="AY388" s="532"/>
    </row>
    <row r="389" spans="1:51" s="154" customFormat="1" ht="15" x14ac:dyDescent="0.25">
      <c r="B389" s="255" t="str">
        <f>$B$30</f>
        <v>Annual Costs:</v>
      </c>
      <c r="C389" s="454"/>
      <c r="D389" s="268"/>
      <c r="E389" s="268"/>
      <c r="F389" s="268"/>
      <c r="G389" s="465"/>
      <c r="H389" s="269"/>
      <c r="I389" s="269"/>
      <c r="J389" s="270"/>
      <c r="K389" s="269"/>
      <c r="L389" s="270"/>
      <c r="M389" s="271"/>
      <c r="N389" s="272"/>
      <c r="O389" s="273"/>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c r="AM389" s="532"/>
      <c r="AN389" s="532"/>
      <c r="AO389" s="532"/>
      <c r="AP389" s="532"/>
      <c r="AQ389" s="532"/>
      <c r="AR389" s="532"/>
      <c r="AS389" s="532"/>
      <c r="AT389" s="532"/>
      <c r="AU389" s="532"/>
      <c r="AV389" s="532"/>
      <c r="AW389" s="532"/>
      <c r="AX389" s="532"/>
      <c r="AY389" s="532"/>
    </row>
    <row r="390" spans="1:51" s="154" customFormat="1" ht="15" x14ac:dyDescent="0.25">
      <c r="B390" s="261" t="str">
        <f>$B$31</f>
        <v>Tandem axle truck</v>
      </c>
      <c r="C390" s="458"/>
      <c r="D390" s="274">
        <f>$D$31</f>
        <v>0.39</v>
      </c>
      <c r="E390" s="274">
        <f>$E$31</f>
        <v>0.44</v>
      </c>
      <c r="F390" s="274">
        <f>$F$31</f>
        <v>0.72</v>
      </c>
      <c r="G390" s="466">
        <f>$G$31</f>
        <v>1.55</v>
      </c>
      <c r="H390" s="274">
        <f>$H$31</f>
        <v>0.56999999999999995</v>
      </c>
      <c r="I390" s="274">
        <f>$I$31</f>
        <v>0.04</v>
      </c>
      <c r="J390" s="275">
        <f>$J$31</f>
        <v>7.0000000000000007E-2</v>
      </c>
      <c r="K390" s="274">
        <f>$K$31</f>
        <v>0.24</v>
      </c>
      <c r="L390" s="275">
        <f>$L$31</f>
        <v>0.03</v>
      </c>
      <c r="M390" s="266">
        <f>$M$31</f>
        <v>0.51</v>
      </c>
      <c r="N390" s="276">
        <f t="shared" ref="N390:N395" si="90">SUM(H390,I390,K390,M390)</f>
        <v>1.3599999999999999</v>
      </c>
      <c r="O390" s="277"/>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2"/>
      <c r="AY390" s="532"/>
    </row>
    <row r="391" spans="1:51" s="154" customFormat="1" ht="15" x14ac:dyDescent="0.25">
      <c r="B391" s="261" t="str">
        <f>$B$32</f>
        <v>Tandem axle truck</v>
      </c>
      <c r="C391" s="458"/>
      <c r="D391" s="274">
        <f>$D$32</f>
        <v>0.39</v>
      </c>
      <c r="E391" s="274">
        <f>$E$32</f>
        <v>0.44</v>
      </c>
      <c r="F391" s="274">
        <f>$F$32</f>
        <v>0.72</v>
      </c>
      <c r="G391" s="466">
        <f>$G$32</f>
        <v>1.55</v>
      </c>
      <c r="H391" s="274">
        <f>$H$32</f>
        <v>0.56999999999999995</v>
      </c>
      <c r="I391" s="274">
        <f>$I$32</f>
        <v>0.04</v>
      </c>
      <c r="J391" s="275">
        <f>$J$32</f>
        <v>7.0000000000000007E-2</v>
      </c>
      <c r="K391" s="274">
        <f>$K$32</f>
        <v>0.24</v>
      </c>
      <c r="L391" s="275">
        <f>$L$32</f>
        <v>0.03</v>
      </c>
      <c r="M391" s="266">
        <f>$M$32</f>
        <v>0.51</v>
      </c>
      <c r="N391" s="276">
        <f t="shared" si="90"/>
        <v>1.3599999999999999</v>
      </c>
      <c r="O391" s="277"/>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c r="AM391" s="532"/>
      <c r="AN391" s="532"/>
      <c r="AO391" s="532"/>
      <c r="AP391" s="532"/>
      <c r="AQ391" s="532"/>
      <c r="AR391" s="532"/>
      <c r="AS391" s="532"/>
      <c r="AT391" s="532"/>
      <c r="AU391" s="532"/>
      <c r="AV391" s="532"/>
      <c r="AW391" s="532"/>
      <c r="AX391" s="532"/>
      <c r="AY391" s="532"/>
    </row>
    <row r="392" spans="1:51" s="154" customFormat="1" ht="15" x14ac:dyDescent="0.25">
      <c r="B392" s="261" t="str">
        <f>$B$33</f>
        <v>2-ton truck</v>
      </c>
      <c r="C392" s="458"/>
      <c r="D392" s="274">
        <f>$D$33</f>
        <v>0.32</v>
      </c>
      <c r="E392" s="274">
        <f>$E$33</f>
        <v>0.26</v>
      </c>
      <c r="F392" s="274">
        <f>$F$33</f>
        <v>0.42</v>
      </c>
      <c r="G392" s="466">
        <f>$G$33</f>
        <v>1</v>
      </c>
      <c r="H392" s="274">
        <f>$H$33</f>
        <v>0.28999999999999998</v>
      </c>
      <c r="I392" s="274">
        <f>$I$33</f>
        <v>0.03</v>
      </c>
      <c r="J392" s="275">
        <f>$J$33</f>
        <v>0.05</v>
      </c>
      <c r="K392" s="274">
        <f>$K$33</f>
        <v>0.17</v>
      </c>
      <c r="L392" s="275">
        <f>$L$33</f>
        <v>0.02</v>
      </c>
      <c r="M392" s="266">
        <f>$M$33</f>
        <v>0.34</v>
      </c>
      <c r="N392" s="276">
        <f t="shared" si="90"/>
        <v>0.83000000000000007</v>
      </c>
      <c r="O392" s="277"/>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c r="AM392" s="532"/>
      <c r="AN392" s="532"/>
      <c r="AO392" s="532"/>
      <c r="AP392" s="532"/>
      <c r="AQ392" s="532"/>
      <c r="AR392" s="532"/>
      <c r="AS392" s="532"/>
      <c r="AT392" s="532"/>
      <c r="AU392" s="532"/>
      <c r="AV392" s="532"/>
      <c r="AW392" s="532"/>
      <c r="AX392" s="532"/>
      <c r="AY392" s="532"/>
    </row>
    <row r="393" spans="1:51" s="154" customFormat="1" ht="15" x14ac:dyDescent="0.25">
      <c r="B393" s="261" t="str">
        <f>$B$34</f>
        <v>Trap wagon</v>
      </c>
      <c r="C393" s="458"/>
      <c r="D393" s="274">
        <f>$D$34</f>
        <v>0.35</v>
      </c>
      <c r="E393" s="274">
        <f>$E$34</f>
        <v>0.16</v>
      </c>
      <c r="F393" s="274">
        <f>$F$34</f>
        <v>0.26</v>
      </c>
      <c r="G393" s="466">
        <f>$G$34</f>
        <v>0.77</v>
      </c>
      <c r="H393" s="274">
        <f>$H$34</f>
        <v>0.12</v>
      </c>
      <c r="I393" s="274">
        <f>$I$34</f>
        <v>0.03</v>
      </c>
      <c r="J393" s="275">
        <f>$J$34</f>
        <v>0.05</v>
      </c>
      <c r="K393" s="274">
        <f>$K$34</f>
        <v>0.17</v>
      </c>
      <c r="L393" s="275">
        <f>$L$34</f>
        <v>0.02</v>
      </c>
      <c r="M393" s="266">
        <f>$M$34</f>
        <v>0.34</v>
      </c>
      <c r="N393" s="276">
        <f t="shared" si="90"/>
        <v>0.66</v>
      </c>
      <c r="O393" s="277"/>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532"/>
      <c r="AM393" s="532"/>
      <c r="AN393" s="532"/>
      <c r="AO393" s="532"/>
      <c r="AP393" s="532"/>
      <c r="AQ393" s="532"/>
      <c r="AR393" s="532"/>
      <c r="AS393" s="532"/>
      <c r="AT393" s="532"/>
      <c r="AU393" s="532"/>
      <c r="AV393" s="532"/>
      <c r="AW393" s="532"/>
      <c r="AX393" s="532"/>
      <c r="AY393" s="532"/>
    </row>
    <row r="394" spans="1:51" s="154" customFormat="1" ht="15" x14ac:dyDescent="0.25">
      <c r="B394" s="261" t="str">
        <f>$B$35</f>
        <v>3/4-ton pick-up</v>
      </c>
      <c r="C394" s="458"/>
      <c r="D394" s="274">
        <f>$D$35</f>
        <v>0.6</v>
      </c>
      <c r="E394" s="274">
        <f>$E$35</f>
        <v>0.42</v>
      </c>
      <c r="F394" s="274">
        <f>$F$35</f>
        <v>0.45</v>
      </c>
      <c r="G394" s="466">
        <f>$G$35</f>
        <v>1.47</v>
      </c>
      <c r="H394" s="274">
        <f>$H$35</f>
        <v>0.17</v>
      </c>
      <c r="I394" s="274">
        <f>$I$35</f>
        <v>0.02</v>
      </c>
      <c r="J394" s="275">
        <f>$J$35</f>
        <v>0.03</v>
      </c>
      <c r="K394" s="274">
        <f>$K$35</f>
        <v>0.11</v>
      </c>
      <c r="L394" s="275">
        <f>$L$35</f>
        <v>0.01</v>
      </c>
      <c r="M394" s="266">
        <f>$M$35</f>
        <v>0.17</v>
      </c>
      <c r="N394" s="276">
        <f t="shared" si="90"/>
        <v>0.47</v>
      </c>
      <c r="O394" s="277"/>
      <c r="P394" s="532"/>
      <c r="Q394" s="532"/>
      <c r="R394" s="532"/>
      <c r="S394" s="532"/>
      <c r="T394" s="532"/>
      <c r="U394" s="532"/>
      <c r="V394" s="532"/>
      <c r="W394" s="532"/>
      <c r="X394" s="532"/>
      <c r="Y394" s="532"/>
      <c r="Z394" s="532"/>
      <c r="AA394" s="532"/>
      <c r="AB394" s="532"/>
      <c r="AC394" s="532"/>
      <c r="AD394" s="532"/>
      <c r="AE394" s="532"/>
      <c r="AF394" s="532"/>
      <c r="AG394" s="532"/>
      <c r="AH394" s="532"/>
      <c r="AI394" s="532"/>
      <c r="AJ394" s="532"/>
      <c r="AK394" s="532"/>
      <c r="AL394" s="532"/>
      <c r="AM394" s="532"/>
      <c r="AN394" s="532"/>
      <c r="AO394" s="532"/>
      <c r="AP394" s="532"/>
      <c r="AQ394" s="532"/>
      <c r="AR394" s="532"/>
      <c r="AS394" s="532"/>
      <c r="AT394" s="532"/>
      <c r="AU394" s="532"/>
      <c r="AV394" s="532"/>
      <c r="AW394" s="532"/>
      <c r="AX394" s="532"/>
      <c r="AY394" s="532"/>
    </row>
    <row r="395" spans="1:51" s="154" customFormat="1" ht="15" x14ac:dyDescent="0.25">
      <c r="B395" s="261" t="str">
        <f>$B$36</f>
        <v>ATV</v>
      </c>
      <c r="C395" s="458"/>
      <c r="D395" s="274">
        <f>$D$36</f>
        <v>0.25</v>
      </c>
      <c r="E395" s="274">
        <f>$E$36</f>
        <v>0.14000000000000001</v>
      </c>
      <c r="F395" s="274">
        <f>$F$36</f>
        <v>0.03</v>
      </c>
      <c r="G395" s="466">
        <f>$G$36</f>
        <v>0.42000000000000004</v>
      </c>
      <c r="H395" s="274">
        <f>$H$36</f>
        <v>0.05</v>
      </c>
      <c r="I395" s="274">
        <f>$I$36</f>
        <v>0.06</v>
      </c>
      <c r="J395" s="275">
        <f>$J$36</f>
        <v>0.12</v>
      </c>
      <c r="K395" s="274">
        <f>$K$36</f>
        <v>0.42</v>
      </c>
      <c r="L395" s="275">
        <f>$L$36</f>
        <v>0.11</v>
      </c>
      <c r="M395" s="266">
        <f>$M$36</f>
        <v>1.87</v>
      </c>
      <c r="N395" s="276">
        <f t="shared" si="90"/>
        <v>2.4000000000000004</v>
      </c>
      <c r="O395" s="277"/>
      <c r="P395" s="532"/>
      <c r="Q395" s="532"/>
      <c r="R395" s="532"/>
      <c r="S395" s="532"/>
      <c r="T395" s="532"/>
      <c r="U395" s="532"/>
      <c r="V395" s="532"/>
      <c r="W395" s="532"/>
      <c r="X395" s="532"/>
      <c r="Y395" s="532"/>
      <c r="Z395" s="532"/>
      <c r="AA395" s="532"/>
      <c r="AB395" s="532"/>
      <c r="AC395" s="532"/>
      <c r="AD395" s="532"/>
      <c r="AE395" s="532"/>
      <c r="AF395" s="532"/>
      <c r="AG395" s="532"/>
      <c r="AH395" s="532"/>
      <c r="AI395" s="532"/>
      <c r="AJ395" s="532"/>
      <c r="AK395" s="532"/>
      <c r="AL395" s="532"/>
      <c r="AM395" s="532"/>
      <c r="AN395" s="532"/>
      <c r="AO395" s="532"/>
      <c r="AP395" s="532"/>
      <c r="AQ395" s="532"/>
      <c r="AR395" s="532"/>
      <c r="AS395" s="532"/>
      <c r="AT395" s="532"/>
      <c r="AU395" s="532"/>
      <c r="AV395" s="532"/>
      <c r="AW395" s="532"/>
      <c r="AX395" s="532"/>
      <c r="AY395" s="532"/>
    </row>
    <row r="396" spans="1:51" s="154" customFormat="1" ht="13.5" thickBot="1" x14ac:dyDescent="0.25">
      <c r="B396" s="692" t="str">
        <f>$B$37</f>
        <v>Cost $/Acre</v>
      </c>
      <c r="C396" s="693"/>
      <c r="D396" s="237">
        <f t="shared" ref="D396:N396" si="91">SUM(D376:D395)</f>
        <v>14.4663</v>
      </c>
      <c r="E396" s="237">
        <f t="shared" si="91"/>
        <v>12.098999999999998</v>
      </c>
      <c r="F396" s="237">
        <f t="shared" si="91"/>
        <v>6.3446999999999996</v>
      </c>
      <c r="G396" s="237">
        <f t="shared" si="91"/>
        <v>32.910000000000004</v>
      </c>
      <c r="H396" s="237">
        <f t="shared" si="91"/>
        <v>7.5681000000000012</v>
      </c>
      <c r="I396" s="237">
        <f t="shared" si="91"/>
        <v>2.11</v>
      </c>
      <c r="J396" s="159">
        <f t="shared" si="91"/>
        <v>4.0999999999999988</v>
      </c>
      <c r="K396" s="237">
        <f t="shared" si="91"/>
        <v>13.98</v>
      </c>
      <c r="L396" s="159">
        <f t="shared" si="91"/>
        <v>0.65</v>
      </c>
      <c r="M396" s="237">
        <f t="shared" si="91"/>
        <v>12.34</v>
      </c>
      <c r="N396" s="237">
        <f t="shared" si="91"/>
        <v>35.998099999999994</v>
      </c>
      <c r="O396" s="157">
        <f>SUM(G396,N396)</f>
        <v>68.90809999999999</v>
      </c>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c r="AM396" s="532"/>
      <c r="AN396" s="532"/>
      <c r="AO396" s="532"/>
      <c r="AP396" s="532"/>
      <c r="AQ396" s="532"/>
      <c r="AR396" s="532"/>
      <c r="AS396" s="532"/>
      <c r="AT396" s="532"/>
      <c r="AU396" s="532"/>
      <c r="AV396" s="532"/>
      <c r="AW396" s="532"/>
      <c r="AX396" s="532"/>
      <c r="AY396" s="532"/>
    </row>
    <row r="397" spans="1:51" ht="12.95" customHeight="1" x14ac:dyDescent="0.2">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2"/>
      <c r="AY397" s="532"/>
    </row>
    <row r="398" spans="1:51" ht="12.95" customHeight="1" x14ac:dyDescent="0.2">
      <c r="B398" s="532"/>
      <c r="C398" s="532"/>
      <c r="D398" s="532"/>
      <c r="E398" s="532"/>
      <c r="F398" s="532"/>
      <c r="G398" s="532"/>
      <c r="H398" s="532"/>
      <c r="I398" s="532"/>
      <c r="J398" s="532"/>
      <c r="K398" s="532"/>
      <c r="L398" s="532"/>
      <c r="M398" s="532"/>
      <c r="N398" s="532"/>
      <c r="O398" s="532"/>
      <c r="P398" s="532"/>
      <c r="Q398" s="532"/>
      <c r="R398" s="532"/>
      <c r="S398" s="532"/>
      <c r="T398" s="532"/>
      <c r="U398" s="532"/>
      <c r="V398" s="532"/>
      <c r="W398" s="532"/>
      <c r="X398" s="532"/>
      <c r="Y398" s="532"/>
      <c r="Z398" s="532"/>
      <c r="AA398" s="532"/>
      <c r="AB398" s="532"/>
      <c r="AC398" s="532"/>
      <c r="AD398" s="532"/>
      <c r="AE398" s="532"/>
      <c r="AF398" s="532"/>
      <c r="AG398" s="532"/>
      <c r="AH398" s="532"/>
      <c r="AI398" s="532"/>
      <c r="AJ398" s="532"/>
      <c r="AK398" s="532"/>
      <c r="AL398" s="532"/>
      <c r="AM398" s="532"/>
      <c r="AN398" s="532"/>
      <c r="AO398" s="532"/>
      <c r="AP398" s="532"/>
      <c r="AQ398" s="532"/>
      <c r="AR398" s="532"/>
      <c r="AS398" s="532"/>
      <c r="AT398" s="532"/>
      <c r="AU398" s="532"/>
      <c r="AV398" s="532"/>
      <c r="AW398" s="532"/>
      <c r="AX398" s="532"/>
      <c r="AY398" s="532"/>
    </row>
    <row r="399" spans="1:51" ht="12.95" customHeight="1" x14ac:dyDescent="0.2">
      <c r="B399" s="532"/>
      <c r="C399" s="532"/>
      <c r="D399" s="532"/>
      <c r="E399" s="532"/>
      <c r="F399" s="532"/>
      <c r="G399" s="532"/>
      <c r="H399" s="532"/>
      <c r="I399" s="532"/>
      <c r="J399" s="532"/>
      <c r="K399" s="532"/>
      <c r="L399" s="532"/>
      <c r="M399" s="532"/>
      <c r="N399" s="532"/>
      <c r="O399" s="532"/>
      <c r="P399" s="532"/>
      <c r="Q399" s="532"/>
      <c r="R399" s="532"/>
      <c r="S399" s="532"/>
      <c r="T399" s="532"/>
      <c r="U399" s="532"/>
      <c r="V399" s="532"/>
      <c r="W399" s="532"/>
      <c r="X399" s="532"/>
      <c r="Y399" s="532"/>
      <c r="Z399" s="532"/>
      <c r="AA399" s="532"/>
      <c r="AB399" s="532"/>
      <c r="AC399" s="532"/>
      <c r="AD399" s="532"/>
      <c r="AE399" s="532"/>
      <c r="AF399" s="532"/>
      <c r="AG399" s="532"/>
      <c r="AH399" s="532"/>
      <c r="AI399" s="532"/>
      <c r="AJ399" s="532"/>
      <c r="AK399" s="532"/>
      <c r="AL399" s="532"/>
      <c r="AM399" s="532"/>
      <c r="AN399" s="532"/>
      <c r="AO399" s="532"/>
      <c r="AP399" s="532"/>
      <c r="AQ399" s="532"/>
      <c r="AR399" s="532"/>
      <c r="AS399" s="532"/>
      <c r="AT399" s="532"/>
      <c r="AU399" s="532"/>
      <c r="AV399" s="532"/>
      <c r="AW399" s="532"/>
      <c r="AX399" s="532"/>
      <c r="AY399" s="532"/>
    </row>
    <row r="400" spans="1:51" ht="12.95" customHeight="1" x14ac:dyDescent="0.2">
      <c r="B400" s="532"/>
      <c r="C400" s="532"/>
      <c r="D400" s="532"/>
      <c r="E400" s="532"/>
      <c r="F400" s="532"/>
      <c r="G400" s="532"/>
      <c r="H400" s="532"/>
      <c r="I400" s="532"/>
      <c r="J400" s="532"/>
      <c r="K400" s="532"/>
      <c r="L400" s="532"/>
      <c r="M400" s="532"/>
      <c r="N400" s="532"/>
      <c r="O400" s="532"/>
      <c r="P400" s="532"/>
      <c r="Q400" s="532"/>
      <c r="R400" s="532"/>
      <c r="S400" s="532"/>
      <c r="T400" s="532"/>
      <c r="U400" s="532"/>
      <c r="V400" s="532"/>
      <c r="W400" s="532"/>
      <c r="X400" s="532"/>
      <c r="Y400" s="532"/>
      <c r="Z400" s="532"/>
      <c r="AA400" s="532"/>
      <c r="AB400" s="532"/>
      <c r="AC400" s="532"/>
      <c r="AD400" s="532"/>
      <c r="AE400" s="532"/>
      <c r="AF400" s="532"/>
      <c r="AG400" s="532"/>
      <c r="AH400" s="532"/>
      <c r="AI400" s="532"/>
      <c r="AJ400" s="532"/>
      <c r="AK400" s="532"/>
      <c r="AL400" s="532"/>
      <c r="AM400" s="532"/>
      <c r="AN400" s="532"/>
      <c r="AO400" s="532"/>
      <c r="AP400" s="532"/>
      <c r="AQ400" s="532"/>
      <c r="AR400" s="532"/>
      <c r="AS400" s="532"/>
      <c r="AT400" s="532"/>
      <c r="AU400" s="532"/>
      <c r="AV400" s="532"/>
      <c r="AW400" s="532"/>
      <c r="AX400" s="532"/>
      <c r="AY400" s="532"/>
    </row>
    <row r="401" spans="2:51" ht="12.95" customHeight="1" x14ac:dyDescent="0.2">
      <c r="B401" s="532"/>
      <c r="C401" s="532"/>
      <c r="D401" s="532"/>
      <c r="E401" s="532"/>
      <c r="F401" s="532"/>
      <c r="G401" s="532"/>
      <c r="H401" s="532"/>
      <c r="I401" s="532"/>
      <c r="J401" s="532"/>
      <c r="K401" s="532"/>
      <c r="L401" s="532"/>
      <c r="M401" s="532"/>
      <c r="N401" s="532"/>
      <c r="O401" s="532"/>
      <c r="P401" s="532"/>
      <c r="Q401" s="532"/>
      <c r="R401" s="532"/>
      <c r="S401" s="532"/>
      <c r="T401" s="532"/>
      <c r="U401" s="532"/>
      <c r="V401" s="532"/>
      <c r="W401" s="532"/>
      <c r="X401" s="532"/>
      <c r="Y401" s="532"/>
      <c r="Z401" s="532"/>
      <c r="AA401" s="532"/>
      <c r="AB401" s="532"/>
      <c r="AC401" s="532"/>
      <c r="AD401" s="532"/>
      <c r="AE401" s="532"/>
      <c r="AF401" s="532"/>
      <c r="AG401" s="532"/>
      <c r="AH401" s="532"/>
      <c r="AI401" s="532"/>
      <c r="AJ401" s="532"/>
      <c r="AK401" s="532"/>
      <c r="AL401" s="532"/>
      <c r="AM401" s="532"/>
      <c r="AN401" s="532"/>
      <c r="AO401" s="532"/>
      <c r="AP401" s="532"/>
      <c r="AQ401" s="532"/>
      <c r="AR401" s="532"/>
      <c r="AS401" s="532"/>
      <c r="AT401" s="532"/>
      <c r="AU401" s="532"/>
      <c r="AV401" s="532"/>
      <c r="AW401" s="532"/>
      <c r="AX401" s="532"/>
      <c r="AY401" s="532"/>
    </row>
    <row r="402" spans="2:51" ht="12.95" customHeight="1" x14ac:dyDescent="0.2">
      <c r="B402" s="532"/>
      <c r="C402" s="532"/>
      <c r="D402" s="532"/>
      <c r="E402" s="532"/>
      <c r="F402" s="532"/>
      <c r="G402" s="532"/>
      <c r="H402" s="532"/>
      <c r="I402" s="532"/>
      <c r="J402" s="532"/>
      <c r="K402" s="532"/>
      <c r="L402" s="532"/>
      <c r="M402" s="532"/>
      <c r="N402" s="532"/>
      <c r="O402" s="532"/>
      <c r="P402" s="532"/>
      <c r="Q402" s="532"/>
      <c r="R402" s="532"/>
      <c r="S402" s="532"/>
      <c r="T402" s="532"/>
      <c r="U402" s="532"/>
      <c r="V402" s="532"/>
      <c r="W402" s="532"/>
      <c r="X402" s="532"/>
      <c r="Y402" s="532"/>
      <c r="Z402" s="532"/>
      <c r="AA402" s="532"/>
      <c r="AB402" s="532"/>
      <c r="AC402" s="532"/>
      <c r="AD402" s="532"/>
      <c r="AE402" s="532"/>
      <c r="AF402" s="532"/>
      <c r="AG402" s="532"/>
      <c r="AH402" s="532"/>
      <c r="AI402" s="532"/>
      <c r="AJ402" s="532"/>
      <c r="AK402" s="532"/>
      <c r="AL402" s="532"/>
      <c r="AM402" s="532"/>
      <c r="AN402" s="532"/>
      <c r="AO402" s="532"/>
      <c r="AP402" s="532"/>
      <c r="AQ402" s="532"/>
      <c r="AR402" s="532"/>
      <c r="AS402" s="532"/>
      <c r="AT402" s="532"/>
      <c r="AU402" s="532"/>
      <c r="AV402" s="532"/>
      <c r="AW402" s="532"/>
      <c r="AX402" s="532"/>
      <c r="AY402" s="532"/>
    </row>
    <row r="403" spans="2:51" ht="12.95" customHeight="1" x14ac:dyDescent="0.2">
      <c r="B403" s="532"/>
      <c r="C403" s="532"/>
      <c r="D403" s="532"/>
      <c r="E403" s="532"/>
      <c r="F403" s="532"/>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c r="AM403" s="532"/>
      <c r="AN403" s="532"/>
      <c r="AO403" s="532"/>
      <c r="AP403" s="532"/>
      <c r="AQ403" s="532"/>
      <c r="AR403" s="532"/>
      <c r="AS403" s="532"/>
      <c r="AT403" s="532"/>
      <c r="AU403" s="532"/>
      <c r="AV403" s="532"/>
      <c r="AW403" s="532"/>
      <c r="AX403" s="532"/>
      <c r="AY403" s="532"/>
    </row>
    <row r="404" spans="2:51" ht="12.95" customHeight="1" x14ac:dyDescent="0.2">
      <c r="B404" s="532"/>
      <c r="C404" s="532"/>
      <c r="D404" s="532"/>
      <c r="E404" s="532"/>
      <c r="F404" s="532"/>
      <c r="G404" s="532"/>
      <c r="H404" s="532"/>
      <c r="I404" s="532"/>
      <c r="J404" s="532"/>
      <c r="K404" s="532"/>
      <c r="L404" s="53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c r="AM404" s="532"/>
      <c r="AN404" s="532"/>
      <c r="AO404" s="532"/>
      <c r="AP404" s="532"/>
      <c r="AQ404" s="532"/>
      <c r="AR404" s="532"/>
      <c r="AS404" s="532"/>
      <c r="AT404" s="532"/>
      <c r="AU404" s="532"/>
      <c r="AV404" s="532"/>
      <c r="AW404" s="532"/>
      <c r="AX404" s="532"/>
      <c r="AY404" s="532"/>
    </row>
    <row r="405" spans="2:51" ht="12.95" customHeight="1" x14ac:dyDescent="0.2">
      <c r="B405" s="532"/>
      <c r="C405" s="532"/>
      <c r="D405" s="532"/>
      <c r="E405" s="532"/>
      <c r="F405" s="532"/>
      <c r="G405" s="532"/>
      <c r="H405" s="532"/>
      <c r="I405" s="532"/>
      <c r="J405" s="532"/>
      <c r="K405" s="532"/>
      <c r="L405" s="532"/>
      <c r="M405" s="532"/>
      <c r="N405" s="532"/>
      <c r="O405" s="532"/>
      <c r="P405" s="532"/>
      <c r="Q405" s="532"/>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c r="AM405" s="532"/>
      <c r="AN405" s="532"/>
      <c r="AO405" s="532"/>
      <c r="AP405" s="532"/>
      <c r="AQ405" s="532"/>
      <c r="AR405" s="532"/>
      <c r="AS405" s="532"/>
      <c r="AT405" s="532"/>
      <c r="AU405" s="532"/>
      <c r="AV405" s="532"/>
      <c r="AW405" s="532"/>
      <c r="AX405" s="532"/>
      <c r="AY405" s="532"/>
    </row>
    <row r="406" spans="2:51" ht="12.95" customHeight="1" x14ac:dyDescent="0.2">
      <c r="B406" s="532"/>
      <c r="C406" s="532"/>
      <c r="D406" s="532"/>
      <c r="E406" s="532"/>
      <c r="F406" s="532"/>
      <c r="G406" s="532"/>
      <c r="H406" s="532"/>
      <c r="I406" s="532"/>
      <c r="J406" s="532"/>
      <c r="K406" s="532"/>
      <c r="L406" s="532"/>
      <c r="M406" s="532"/>
      <c r="N406" s="532"/>
      <c r="O406" s="532"/>
      <c r="P406" s="532"/>
      <c r="Q406" s="532"/>
      <c r="R406" s="532"/>
      <c r="S406" s="532"/>
      <c r="T406" s="532"/>
      <c r="U406" s="532"/>
      <c r="V406" s="532"/>
      <c r="W406" s="532"/>
      <c r="X406" s="532"/>
      <c r="Y406" s="532"/>
      <c r="Z406" s="532"/>
      <c r="AA406" s="532"/>
      <c r="AB406" s="532"/>
      <c r="AC406" s="532"/>
      <c r="AD406" s="532"/>
      <c r="AE406" s="532"/>
      <c r="AF406" s="532"/>
      <c r="AG406" s="532"/>
      <c r="AH406" s="532"/>
      <c r="AI406" s="532"/>
      <c r="AJ406" s="532"/>
      <c r="AK406" s="532"/>
      <c r="AL406" s="532"/>
      <c r="AM406" s="532"/>
      <c r="AN406" s="532"/>
      <c r="AO406" s="532"/>
      <c r="AP406" s="532"/>
      <c r="AQ406" s="532"/>
      <c r="AR406" s="532"/>
      <c r="AS406" s="532"/>
      <c r="AT406" s="532"/>
      <c r="AU406" s="532"/>
      <c r="AV406" s="532"/>
      <c r="AW406" s="532"/>
      <c r="AX406" s="532"/>
      <c r="AY406" s="532"/>
    </row>
    <row r="407" spans="2:51" ht="12.95" customHeight="1" x14ac:dyDescent="0.2">
      <c r="B407" s="532"/>
      <c r="C407" s="532"/>
      <c r="D407" s="532"/>
      <c r="E407" s="532"/>
      <c r="F407" s="532"/>
      <c r="G407" s="532"/>
      <c r="H407" s="532"/>
      <c r="I407" s="532"/>
      <c r="J407" s="532"/>
      <c r="K407" s="532"/>
      <c r="L407" s="532"/>
      <c r="M407" s="532"/>
      <c r="N407" s="532"/>
      <c r="O407" s="532"/>
      <c r="P407" s="532"/>
      <c r="Q407" s="532"/>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c r="AM407" s="532"/>
      <c r="AN407" s="532"/>
      <c r="AO407" s="532"/>
      <c r="AP407" s="532"/>
      <c r="AQ407" s="532"/>
      <c r="AR407" s="532"/>
      <c r="AS407" s="532"/>
      <c r="AT407" s="532"/>
      <c r="AU407" s="532"/>
      <c r="AV407" s="532"/>
      <c r="AW407" s="532"/>
      <c r="AX407" s="532"/>
      <c r="AY407" s="532"/>
    </row>
    <row r="408" spans="2:51" ht="12.95" customHeight="1" x14ac:dyDescent="0.2">
      <c r="B408" s="532"/>
      <c r="C408" s="532"/>
      <c r="D408" s="532"/>
      <c r="E408" s="532"/>
      <c r="F408" s="532"/>
      <c r="G408" s="532"/>
      <c r="H408" s="532"/>
      <c r="I408" s="532"/>
      <c r="J408" s="532"/>
      <c r="K408" s="532"/>
      <c r="L408" s="532"/>
      <c r="M408" s="532"/>
      <c r="N408" s="532"/>
      <c r="O408" s="532"/>
      <c r="P408" s="532"/>
      <c r="Q408" s="532"/>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c r="AM408" s="532"/>
      <c r="AN408" s="532"/>
      <c r="AO408" s="532"/>
      <c r="AP408" s="532"/>
      <c r="AQ408" s="532"/>
      <c r="AR408" s="532"/>
      <c r="AS408" s="532"/>
      <c r="AT408" s="532"/>
      <c r="AU408" s="532"/>
      <c r="AV408" s="532"/>
      <c r="AW408" s="532"/>
      <c r="AX408" s="532"/>
      <c r="AY408" s="532"/>
    </row>
    <row r="409" spans="2:51" ht="12.95" customHeight="1" x14ac:dyDescent="0.2">
      <c r="B409" s="532"/>
      <c r="C409" s="532"/>
      <c r="D409" s="532"/>
      <c r="E409" s="532"/>
      <c r="F409" s="532"/>
      <c r="G409" s="532"/>
      <c r="H409" s="532"/>
      <c r="I409" s="532"/>
      <c r="J409" s="532"/>
      <c r="K409" s="532"/>
      <c r="L409" s="53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c r="AM409" s="532"/>
      <c r="AN409" s="532"/>
      <c r="AO409" s="532"/>
      <c r="AP409" s="532"/>
      <c r="AQ409" s="532"/>
      <c r="AR409" s="532"/>
      <c r="AS409" s="532"/>
      <c r="AT409" s="532"/>
      <c r="AU409" s="532"/>
      <c r="AV409" s="532"/>
      <c r="AW409" s="532"/>
      <c r="AX409" s="532"/>
      <c r="AY409" s="532"/>
    </row>
    <row r="410" spans="2:51" ht="12.95" customHeight="1" x14ac:dyDescent="0.2">
      <c r="B410" s="532"/>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c r="AM410" s="532"/>
      <c r="AN410" s="532"/>
      <c r="AO410" s="532"/>
      <c r="AP410" s="532"/>
      <c r="AQ410" s="532"/>
      <c r="AR410" s="532"/>
      <c r="AS410" s="532"/>
      <c r="AT410" s="532"/>
      <c r="AU410" s="532"/>
      <c r="AV410" s="532"/>
      <c r="AW410" s="532"/>
      <c r="AX410" s="532"/>
      <c r="AY410" s="532"/>
    </row>
    <row r="411" spans="2:51" ht="12.95" customHeight="1" x14ac:dyDescent="0.2">
      <c r="B411" s="532"/>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row>
    <row r="412" spans="2:51" ht="12.95" customHeight="1" x14ac:dyDescent="0.2">
      <c r="B412" s="532"/>
      <c r="C412" s="532"/>
      <c r="D412" s="532"/>
      <c r="E412" s="532"/>
      <c r="F412" s="532"/>
      <c r="G412" s="532"/>
      <c r="H412" s="532"/>
      <c r="I412" s="532"/>
      <c r="J412" s="532"/>
      <c r="K412" s="532"/>
      <c r="L412" s="53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c r="AM412" s="532"/>
      <c r="AN412" s="532"/>
      <c r="AO412" s="532"/>
      <c r="AP412" s="532"/>
      <c r="AQ412" s="532"/>
      <c r="AR412" s="532"/>
      <c r="AS412" s="532"/>
      <c r="AT412" s="532"/>
      <c r="AU412" s="532"/>
      <c r="AV412" s="532"/>
      <c r="AW412" s="532"/>
      <c r="AX412" s="532"/>
      <c r="AY412" s="532"/>
    </row>
    <row r="413" spans="2:51" ht="12.95" customHeight="1" x14ac:dyDescent="0.2">
      <c r="B413" s="532"/>
      <c r="C413" s="532"/>
      <c r="D413" s="532"/>
      <c r="E413" s="532"/>
      <c r="F413" s="532"/>
      <c r="G413" s="532"/>
      <c r="H413" s="532"/>
      <c r="I413" s="532"/>
      <c r="J413" s="532"/>
      <c r="K413" s="532"/>
      <c r="L413" s="53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c r="AM413" s="532"/>
      <c r="AN413" s="532"/>
      <c r="AO413" s="532"/>
      <c r="AP413" s="532"/>
      <c r="AQ413" s="532"/>
      <c r="AR413" s="532"/>
      <c r="AS413" s="532"/>
      <c r="AT413" s="532"/>
      <c r="AU413" s="532"/>
      <c r="AV413" s="532"/>
      <c r="AW413" s="532"/>
      <c r="AX413" s="532"/>
      <c r="AY413" s="532"/>
    </row>
    <row r="414" spans="2:51" ht="12.95" customHeight="1" x14ac:dyDescent="0.2">
      <c r="B414" s="532"/>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c r="AM414" s="532"/>
      <c r="AN414" s="532"/>
      <c r="AO414" s="532"/>
      <c r="AP414" s="532"/>
      <c r="AQ414" s="532"/>
      <c r="AR414" s="532"/>
      <c r="AS414" s="532"/>
      <c r="AT414" s="532"/>
      <c r="AU414" s="532"/>
      <c r="AV414" s="532"/>
      <c r="AW414" s="532"/>
      <c r="AX414" s="532"/>
      <c r="AY414" s="532"/>
    </row>
    <row r="415" spans="2:51" ht="12.95" customHeight="1" x14ac:dyDescent="0.2">
      <c r="B415" s="532"/>
      <c r="C415" s="532"/>
      <c r="D415" s="532"/>
      <c r="E415" s="532"/>
      <c r="F415" s="532"/>
      <c r="G415" s="532"/>
      <c r="H415" s="532"/>
      <c r="I415" s="532"/>
      <c r="J415" s="532"/>
      <c r="K415" s="532"/>
      <c r="L415" s="53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c r="AM415" s="532"/>
      <c r="AN415" s="532"/>
      <c r="AO415" s="532"/>
      <c r="AP415" s="532"/>
      <c r="AQ415" s="532"/>
      <c r="AR415" s="532"/>
      <c r="AS415" s="532"/>
      <c r="AT415" s="532"/>
      <c r="AU415" s="532"/>
      <c r="AV415" s="532"/>
      <c r="AW415" s="532"/>
      <c r="AX415" s="532"/>
      <c r="AY415" s="532"/>
    </row>
    <row r="416" spans="2:51" ht="12.95" customHeight="1" x14ac:dyDescent="0.2">
      <c r="B416" s="532"/>
      <c r="C416" s="532"/>
      <c r="D416" s="532"/>
      <c r="E416" s="532"/>
      <c r="F416" s="532"/>
      <c r="G416" s="532"/>
      <c r="H416" s="532"/>
      <c r="I416" s="532"/>
      <c r="J416" s="532"/>
      <c r="K416" s="532"/>
      <c r="L416" s="53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c r="AM416" s="532"/>
      <c r="AN416" s="532"/>
      <c r="AO416" s="532"/>
      <c r="AP416" s="532"/>
      <c r="AQ416" s="532"/>
      <c r="AR416" s="532"/>
      <c r="AS416" s="532"/>
      <c r="AT416" s="532"/>
      <c r="AU416" s="532"/>
      <c r="AV416" s="532"/>
      <c r="AW416" s="532"/>
      <c r="AX416" s="532"/>
      <c r="AY416" s="532"/>
    </row>
    <row r="417" spans="2:51" ht="12.95" customHeight="1" x14ac:dyDescent="0.2">
      <c r="B417" s="532"/>
      <c r="C417" s="532"/>
      <c r="D417" s="532"/>
      <c r="E417" s="532"/>
      <c r="F417" s="532"/>
      <c r="G417" s="532"/>
      <c r="H417" s="532"/>
      <c r="I417" s="532"/>
      <c r="J417" s="532"/>
      <c r="K417" s="532"/>
      <c r="L417" s="53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c r="AM417" s="532"/>
      <c r="AN417" s="532"/>
      <c r="AO417" s="532"/>
      <c r="AP417" s="532"/>
      <c r="AQ417" s="532"/>
      <c r="AR417" s="532"/>
      <c r="AS417" s="532"/>
      <c r="AT417" s="532"/>
      <c r="AU417" s="532"/>
      <c r="AV417" s="532"/>
      <c r="AW417" s="532"/>
      <c r="AX417" s="532"/>
      <c r="AY417" s="532"/>
    </row>
    <row r="418" spans="2:51" ht="12.95" customHeight="1" x14ac:dyDescent="0.2">
      <c r="B418" s="532"/>
      <c r="C418" s="532"/>
      <c r="D418" s="532"/>
      <c r="E418" s="532"/>
      <c r="F418" s="532"/>
      <c r="G418" s="532"/>
      <c r="H418" s="532"/>
      <c r="I418" s="532"/>
      <c r="J418" s="532"/>
      <c r="K418" s="532"/>
      <c r="L418" s="53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c r="AM418" s="532"/>
      <c r="AN418" s="532"/>
      <c r="AO418" s="532"/>
      <c r="AP418" s="532"/>
      <c r="AQ418" s="532"/>
      <c r="AR418" s="532"/>
      <c r="AS418" s="532"/>
      <c r="AT418" s="532"/>
      <c r="AU418" s="532"/>
      <c r="AV418" s="532"/>
      <c r="AW418" s="532"/>
      <c r="AX418" s="532"/>
      <c r="AY418" s="532"/>
    </row>
    <row r="419" spans="2:51" ht="12.95" customHeight="1" x14ac:dyDescent="0.2">
      <c r="B419" s="532"/>
      <c r="C419" s="532"/>
      <c r="D419" s="532"/>
      <c r="E419" s="532"/>
      <c r="F419" s="532"/>
      <c r="G419" s="532"/>
      <c r="H419" s="532"/>
      <c r="I419" s="532"/>
      <c r="J419" s="532"/>
      <c r="K419" s="532"/>
      <c r="L419" s="532"/>
      <c r="M419" s="532"/>
      <c r="N419" s="532"/>
      <c r="O419" s="532"/>
      <c r="P419" s="532"/>
      <c r="Q419" s="532"/>
      <c r="R419" s="532"/>
      <c r="S419" s="532"/>
      <c r="T419" s="532"/>
      <c r="U419" s="532"/>
      <c r="V419" s="532"/>
      <c r="W419" s="532"/>
      <c r="X419" s="532"/>
      <c r="Y419" s="532"/>
      <c r="Z419" s="532"/>
      <c r="AA419" s="532"/>
      <c r="AB419" s="532"/>
      <c r="AC419" s="532"/>
      <c r="AD419" s="532"/>
      <c r="AE419" s="532"/>
      <c r="AF419" s="532"/>
      <c r="AG419" s="532"/>
      <c r="AH419" s="532"/>
      <c r="AI419" s="532"/>
      <c r="AJ419" s="532"/>
      <c r="AK419" s="532"/>
      <c r="AL419" s="532"/>
      <c r="AM419" s="532"/>
      <c r="AN419" s="532"/>
      <c r="AO419" s="532"/>
      <c r="AP419" s="532"/>
      <c r="AQ419" s="532"/>
      <c r="AR419" s="532"/>
      <c r="AS419" s="532"/>
      <c r="AT419" s="532"/>
      <c r="AU419" s="532"/>
      <c r="AV419" s="532"/>
      <c r="AW419" s="532"/>
      <c r="AX419" s="532"/>
      <c r="AY419" s="532"/>
    </row>
    <row r="420" spans="2:51" ht="12.95" customHeight="1" x14ac:dyDescent="0.2">
      <c r="B420" s="532"/>
      <c r="C420" s="532"/>
      <c r="D420" s="532"/>
      <c r="E420" s="532"/>
      <c r="F420" s="532"/>
      <c r="G420" s="532"/>
      <c r="H420" s="532"/>
      <c r="I420" s="532"/>
      <c r="J420" s="532"/>
      <c r="K420" s="532"/>
      <c r="L420" s="532"/>
      <c r="M420" s="532"/>
      <c r="N420" s="532"/>
      <c r="O420" s="532"/>
      <c r="P420" s="532"/>
      <c r="Q420" s="532"/>
      <c r="R420" s="532"/>
      <c r="S420" s="532"/>
      <c r="T420" s="532"/>
      <c r="U420" s="532"/>
      <c r="V420" s="532"/>
      <c r="W420" s="532"/>
      <c r="X420" s="532"/>
      <c r="Y420" s="532"/>
      <c r="Z420" s="532"/>
      <c r="AA420" s="532"/>
      <c r="AB420" s="532"/>
      <c r="AC420" s="532"/>
      <c r="AD420" s="532"/>
      <c r="AE420" s="532"/>
      <c r="AF420" s="532"/>
      <c r="AG420" s="532"/>
      <c r="AH420" s="532"/>
      <c r="AI420" s="532"/>
      <c r="AJ420" s="532"/>
      <c r="AK420" s="532"/>
      <c r="AL420" s="532"/>
      <c r="AM420" s="532"/>
      <c r="AN420" s="532"/>
      <c r="AO420" s="532"/>
      <c r="AP420" s="532"/>
      <c r="AQ420" s="532"/>
      <c r="AR420" s="532"/>
      <c r="AS420" s="532"/>
      <c r="AT420" s="532"/>
      <c r="AU420" s="532"/>
      <c r="AV420" s="532"/>
      <c r="AW420" s="532"/>
      <c r="AX420" s="532"/>
      <c r="AY420" s="532"/>
    </row>
    <row r="421" spans="2:51" ht="12.95" customHeight="1" x14ac:dyDescent="0.2">
      <c r="B421" s="532"/>
      <c r="C421" s="532"/>
      <c r="D421" s="532"/>
      <c r="E421" s="532"/>
      <c r="F421" s="532"/>
      <c r="G421" s="532"/>
      <c r="H421" s="532"/>
      <c r="I421" s="532"/>
      <c r="J421" s="532"/>
      <c r="K421" s="532"/>
      <c r="L421" s="532"/>
      <c r="M421" s="532"/>
      <c r="N421" s="532"/>
      <c r="O421" s="532"/>
      <c r="P421" s="532"/>
      <c r="Q421" s="532"/>
      <c r="R421" s="532"/>
      <c r="S421" s="532"/>
      <c r="T421" s="532"/>
      <c r="U421" s="532"/>
      <c r="V421" s="532"/>
      <c r="W421" s="532"/>
      <c r="X421" s="532"/>
      <c r="Y421" s="532"/>
      <c r="Z421" s="532"/>
      <c r="AA421" s="532"/>
      <c r="AB421" s="532"/>
      <c r="AC421" s="532"/>
      <c r="AD421" s="532"/>
      <c r="AE421" s="532"/>
      <c r="AF421" s="532"/>
      <c r="AG421" s="532"/>
      <c r="AH421" s="532"/>
      <c r="AI421" s="532"/>
      <c r="AJ421" s="532"/>
      <c r="AK421" s="532"/>
      <c r="AL421" s="532"/>
      <c r="AM421" s="532"/>
      <c r="AN421" s="532"/>
      <c r="AO421" s="532"/>
      <c r="AP421" s="532"/>
      <c r="AQ421" s="532"/>
      <c r="AR421" s="532"/>
      <c r="AS421" s="532"/>
      <c r="AT421" s="532"/>
      <c r="AU421" s="532"/>
      <c r="AV421" s="532"/>
      <c r="AW421" s="532"/>
      <c r="AX421" s="532"/>
      <c r="AY421" s="532"/>
    </row>
    <row r="422" spans="2:51" ht="12.95" customHeight="1" x14ac:dyDescent="0.2">
      <c r="B422" s="532"/>
      <c r="C422" s="532"/>
      <c r="D422" s="532"/>
      <c r="E422" s="532"/>
      <c r="F422" s="532"/>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E422" s="532"/>
      <c r="AF422" s="532"/>
      <c r="AG422" s="532"/>
      <c r="AH422" s="532"/>
      <c r="AI422" s="532"/>
      <c r="AJ422" s="532"/>
      <c r="AK422" s="532"/>
      <c r="AL422" s="532"/>
      <c r="AM422" s="532"/>
      <c r="AN422" s="532"/>
      <c r="AO422" s="532"/>
      <c r="AP422" s="532"/>
      <c r="AQ422" s="532"/>
      <c r="AR422" s="532"/>
      <c r="AS422" s="532"/>
      <c r="AT422" s="532"/>
      <c r="AU422" s="532"/>
      <c r="AV422" s="532"/>
      <c r="AW422" s="532"/>
      <c r="AX422" s="532"/>
      <c r="AY422" s="532"/>
    </row>
    <row r="423" spans="2:51" ht="12.95" customHeight="1" x14ac:dyDescent="0.2">
      <c r="B423" s="532"/>
      <c r="C423" s="532"/>
      <c r="D423" s="532"/>
      <c r="E423" s="532"/>
      <c r="F423" s="532"/>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32"/>
      <c r="AF423" s="532"/>
      <c r="AG423" s="532"/>
      <c r="AH423" s="532"/>
      <c r="AI423" s="532"/>
      <c r="AJ423" s="532"/>
      <c r="AK423" s="532"/>
      <c r="AL423" s="532"/>
      <c r="AM423" s="532"/>
      <c r="AN423" s="532"/>
      <c r="AO423" s="532"/>
      <c r="AP423" s="532"/>
      <c r="AQ423" s="532"/>
      <c r="AR423" s="532"/>
      <c r="AS423" s="532"/>
      <c r="AT423" s="532"/>
      <c r="AU423" s="532"/>
      <c r="AV423" s="532"/>
      <c r="AW423" s="532"/>
      <c r="AX423" s="532"/>
      <c r="AY423" s="532"/>
    </row>
    <row r="424" spans="2:51" ht="12.95" customHeight="1" x14ac:dyDescent="0.2">
      <c r="B424" s="532"/>
      <c r="C424" s="532"/>
      <c r="D424" s="532"/>
      <c r="E424" s="532"/>
      <c r="F424" s="532"/>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c r="AM424" s="532"/>
      <c r="AN424" s="532"/>
      <c r="AO424" s="532"/>
      <c r="AP424" s="532"/>
      <c r="AQ424" s="532"/>
      <c r="AR424" s="532"/>
      <c r="AS424" s="532"/>
      <c r="AT424" s="532"/>
      <c r="AU424" s="532"/>
      <c r="AV424" s="532"/>
      <c r="AW424" s="532"/>
      <c r="AX424" s="532"/>
      <c r="AY424" s="532"/>
    </row>
    <row r="425" spans="2:51" ht="12.95" customHeight="1" x14ac:dyDescent="0.2">
      <c r="B425" s="532"/>
      <c r="C425" s="532"/>
      <c r="D425" s="532"/>
      <c r="E425" s="532"/>
      <c r="F425" s="532"/>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c r="AM425" s="532"/>
      <c r="AN425" s="532"/>
      <c r="AO425" s="532"/>
      <c r="AP425" s="532"/>
      <c r="AQ425" s="532"/>
      <c r="AR425" s="532"/>
      <c r="AS425" s="532"/>
      <c r="AT425" s="532"/>
      <c r="AU425" s="532"/>
      <c r="AV425" s="532"/>
      <c r="AW425" s="532"/>
      <c r="AX425" s="532"/>
      <c r="AY425" s="532"/>
    </row>
    <row r="426" spans="2:51" ht="12.95" customHeight="1" x14ac:dyDescent="0.2">
      <c r="B426" s="532"/>
      <c r="C426" s="532"/>
      <c r="D426" s="532"/>
      <c r="E426" s="532"/>
      <c r="F426" s="532"/>
      <c r="G426" s="532"/>
      <c r="H426" s="532"/>
      <c r="I426" s="532"/>
      <c r="J426" s="532"/>
      <c r="K426" s="532"/>
      <c r="L426" s="532"/>
      <c r="M426" s="532"/>
      <c r="N426" s="532"/>
      <c r="O426" s="532"/>
      <c r="P426" s="532"/>
      <c r="Q426" s="532"/>
      <c r="R426" s="532"/>
      <c r="S426" s="532"/>
      <c r="T426" s="532"/>
      <c r="U426" s="532"/>
      <c r="V426" s="532"/>
      <c r="W426" s="532"/>
      <c r="X426" s="532"/>
      <c r="Y426" s="532"/>
      <c r="Z426" s="532"/>
      <c r="AA426" s="532"/>
      <c r="AB426" s="532"/>
      <c r="AC426" s="532"/>
      <c r="AD426" s="532"/>
      <c r="AE426" s="532"/>
      <c r="AF426" s="532"/>
      <c r="AG426" s="532"/>
      <c r="AH426" s="532"/>
      <c r="AI426" s="532"/>
      <c r="AJ426" s="532"/>
      <c r="AK426" s="532"/>
      <c r="AL426" s="532"/>
      <c r="AM426" s="532"/>
      <c r="AN426" s="532"/>
      <c r="AO426" s="532"/>
      <c r="AP426" s="532"/>
      <c r="AQ426" s="532"/>
      <c r="AR426" s="532"/>
      <c r="AS426" s="532"/>
      <c r="AT426" s="532"/>
      <c r="AU426" s="532"/>
      <c r="AV426" s="532"/>
      <c r="AW426" s="532"/>
      <c r="AX426" s="532"/>
      <c r="AY426" s="532"/>
    </row>
    <row r="427" spans="2:51" ht="12.95" customHeight="1" x14ac:dyDescent="0.2">
      <c r="B427" s="532"/>
      <c r="C427" s="532"/>
      <c r="D427" s="532"/>
      <c r="E427" s="532"/>
      <c r="F427" s="532"/>
      <c r="G427" s="532"/>
      <c r="H427" s="532"/>
      <c r="I427" s="532"/>
      <c r="J427" s="532"/>
      <c r="K427" s="532"/>
      <c r="L427" s="532"/>
      <c r="M427" s="532"/>
      <c r="N427" s="532"/>
      <c r="O427" s="532"/>
      <c r="P427" s="532"/>
      <c r="Q427" s="532"/>
      <c r="R427" s="532"/>
      <c r="S427" s="532"/>
      <c r="T427" s="532"/>
      <c r="U427" s="532"/>
      <c r="V427" s="532"/>
      <c r="W427" s="532"/>
      <c r="X427" s="532"/>
      <c r="Y427" s="532"/>
      <c r="Z427" s="532"/>
      <c r="AA427" s="532"/>
      <c r="AB427" s="532"/>
      <c r="AC427" s="532"/>
      <c r="AD427" s="532"/>
      <c r="AE427" s="532"/>
      <c r="AF427" s="532"/>
      <c r="AG427" s="532"/>
      <c r="AH427" s="532"/>
      <c r="AI427" s="532"/>
      <c r="AJ427" s="532"/>
      <c r="AK427" s="532"/>
      <c r="AL427" s="532"/>
      <c r="AM427" s="532"/>
      <c r="AN427" s="532"/>
      <c r="AO427" s="532"/>
      <c r="AP427" s="532"/>
      <c r="AQ427" s="532"/>
      <c r="AR427" s="532"/>
      <c r="AS427" s="532"/>
      <c r="AT427" s="532"/>
      <c r="AU427" s="532"/>
      <c r="AV427" s="532"/>
      <c r="AW427" s="532"/>
      <c r="AX427" s="532"/>
      <c r="AY427" s="532"/>
    </row>
    <row r="428" spans="2:51" ht="12.95" customHeight="1" x14ac:dyDescent="0.2">
      <c r="B428" s="532"/>
      <c r="C428" s="532"/>
      <c r="D428" s="532"/>
      <c r="E428" s="532"/>
      <c r="F428" s="532"/>
      <c r="G428" s="532"/>
      <c r="H428" s="532"/>
      <c r="I428" s="532"/>
      <c r="J428" s="532"/>
      <c r="K428" s="532"/>
      <c r="L428" s="532"/>
      <c r="M428" s="532"/>
      <c r="N428" s="532"/>
      <c r="O428" s="532"/>
      <c r="P428" s="532"/>
      <c r="Q428" s="532"/>
      <c r="R428" s="532"/>
      <c r="S428" s="532"/>
      <c r="T428" s="532"/>
      <c r="U428" s="532"/>
      <c r="V428" s="532"/>
      <c r="W428" s="532"/>
      <c r="X428" s="532"/>
      <c r="Y428" s="532"/>
      <c r="Z428" s="532"/>
      <c r="AA428" s="532"/>
      <c r="AB428" s="532"/>
      <c r="AC428" s="532"/>
      <c r="AD428" s="532"/>
      <c r="AE428" s="532"/>
      <c r="AF428" s="532"/>
      <c r="AG428" s="532"/>
      <c r="AH428" s="532"/>
      <c r="AI428" s="532"/>
      <c r="AJ428" s="532"/>
      <c r="AK428" s="532"/>
      <c r="AL428" s="532"/>
      <c r="AM428" s="532"/>
      <c r="AN428" s="532"/>
      <c r="AO428" s="532"/>
      <c r="AP428" s="532"/>
      <c r="AQ428" s="532"/>
      <c r="AR428" s="532"/>
      <c r="AS428" s="532"/>
      <c r="AT428" s="532"/>
      <c r="AU428" s="532"/>
      <c r="AV428" s="532"/>
      <c r="AW428" s="532"/>
      <c r="AX428" s="532"/>
      <c r="AY428" s="532"/>
    </row>
    <row r="429" spans="2:51" ht="12.95" customHeight="1" x14ac:dyDescent="0.2">
      <c r="B429" s="532"/>
      <c r="C429" s="532"/>
      <c r="D429" s="532"/>
      <c r="E429" s="532"/>
      <c r="F429" s="532"/>
      <c r="G429" s="532"/>
      <c r="H429" s="532"/>
      <c r="I429" s="532"/>
      <c r="J429" s="532"/>
      <c r="K429" s="532"/>
      <c r="L429" s="532"/>
      <c r="M429" s="532"/>
      <c r="N429" s="532"/>
      <c r="O429" s="532"/>
      <c r="P429" s="532"/>
      <c r="Q429" s="532"/>
      <c r="R429" s="532"/>
      <c r="S429" s="532"/>
      <c r="T429" s="532"/>
      <c r="U429" s="532"/>
      <c r="V429" s="532"/>
      <c r="W429" s="532"/>
      <c r="X429" s="532"/>
      <c r="Y429" s="532"/>
      <c r="Z429" s="532"/>
      <c r="AA429" s="532"/>
      <c r="AB429" s="532"/>
      <c r="AC429" s="532"/>
      <c r="AD429" s="532"/>
      <c r="AE429" s="532"/>
      <c r="AF429" s="532"/>
      <c r="AG429" s="532"/>
      <c r="AH429" s="532"/>
      <c r="AI429" s="532"/>
      <c r="AJ429" s="532"/>
      <c r="AK429" s="532"/>
      <c r="AL429" s="532"/>
      <c r="AM429" s="532"/>
      <c r="AN429" s="532"/>
      <c r="AO429" s="532"/>
      <c r="AP429" s="532"/>
      <c r="AQ429" s="532"/>
      <c r="AR429" s="532"/>
      <c r="AS429" s="532"/>
      <c r="AT429" s="532"/>
      <c r="AU429" s="532"/>
      <c r="AV429" s="532"/>
      <c r="AW429" s="532"/>
      <c r="AX429" s="532"/>
      <c r="AY429" s="532"/>
    </row>
    <row r="430" spans="2:51" ht="12.95" customHeight="1" x14ac:dyDescent="0.2">
      <c r="B430" s="532"/>
      <c r="C430" s="532"/>
      <c r="D430" s="532"/>
      <c r="E430" s="532"/>
      <c r="F430" s="532"/>
      <c r="G430" s="532"/>
      <c r="H430" s="532"/>
      <c r="I430" s="532"/>
      <c r="J430" s="532"/>
      <c r="K430" s="532"/>
      <c r="L430" s="532"/>
      <c r="M430" s="532"/>
      <c r="N430" s="532"/>
      <c r="O430" s="532"/>
      <c r="P430" s="532"/>
      <c r="Q430" s="532"/>
      <c r="R430" s="532"/>
      <c r="S430" s="532"/>
      <c r="T430" s="532"/>
      <c r="U430" s="532"/>
      <c r="V430" s="532"/>
      <c r="W430" s="532"/>
      <c r="X430" s="532"/>
      <c r="Y430" s="532"/>
      <c r="Z430" s="532"/>
      <c r="AA430" s="532"/>
      <c r="AB430" s="532"/>
      <c r="AC430" s="532"/>
      <c r="AD430" s="532"/>
      <c r="AE430" s="532"/>
      <c r="AF430" s="532"/>
      <c r="AG430" s="532"/>
      <c r="AH430" s="532"/>
      <c r="AI430" s="532"/>
      <c r="AJ430" s="532"/>
      <c r="AK430" s="532"/>
      <c r="AL430" s="532"/>
      <c r="AM430" s="532"/>
      <c r="AN430" s="532"/>
      <c r="AO430" s="532"/>
      <c r="AP430" s="532"/>
      <c r="AQ430" s="532"/>
      <c r="AR430" s="532"/>
      <c r="AS430" s="532"/>
      <c r="AT430" s="532"/>
      <c r="AU430" s="532"/>
      <c r="AV430" s="532"/>
      <c r="AW430" s="532"/>
      <c r="AX430" s="532"/>
      <c r="AY430" s="532"/>
    </row>
    <row r="431" spans="2:51" ht="12.95" customHeight="1" x14ac:dyDescent="0.2">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c r="AM431" s="532"/>
      <c r="AN431" s="532"/>
      <c r="AO431" s="532"/>
      <c r="AP431" s="532"/>
      <c r="AQ431" s="532"/>
      <c r="AR431" s="532"/>
      <c r="AS431" s="532"/>
      <c r="AT431" s="532"/>
      <c r="AU431" s="532"/>
      <c r="AV431" s="532"/>
      <c r="AW431" s="532"/>
      <c r="AX431" s="532"/>
      <c r="AY431" s="532"/>
    </row>
    <row r="432" spans="2:51" ht="12.95" customHeight="1" x14ac:dyDescent="0.2">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c r="AM432" s="532"/>
      <c r="AN432" s="532"/>
      <c r="AO432" s="532"/>
      <c r="AP432" s="532"/>
      <c r="AQ432" s="532"/>
      <c r="AR432" s="532"/>
      <c r="AS432" s="532"/>
      <c r="AT432" s="532"/>
      <c r="AU432" s="532"/>
      <c r="AV432" s="532"/>
      <c r="AW432" s="532"/>
      <c r="AX432" s="532"/>
      <c r="AY432" s="532"/>
    </row>
    <row r="433" spans="2:51" ht="12.95" customHeight="1" x14ac:dyDescent="0.2">
      <c r="B433" s="532"/>
      <c r="C433" s="532"/>
      <c r="D433" s="532"/>
      <c r="E433" s="532"/>
      <c r="F433" s="532"/>
      <c r="G433" s="532"/>
      <c r="H433" s="532"/>
      <c r="I433" s="532"/>
      <c r="J433" s="532"/>
      <c r="K433" s="532"/>
      <c r="L433" s="532"/>
      <c r="M433" s="532"/>
      <c r="N433" s="532"/>
      <c r="O433" s="532"/>
      <c r="P433" s="532"/>
      <c r="Q433" s="532"/>
      <c r="R433" s="532"/>
      <c r="S433" s="532"/>
      <c r="T433" s="532"/>
      <c r="U433" s="532"/>
      <c r="V433" s="532"/>
      <c r="W433" s="532"/>
      <c r="X433" s="532"/>
      <c r="Y433" s="532"/>
      <c r="Z433" s="532"/>
      <c r="AA433" s="532"/>
      <c r="AB433" s="532"/>
      <c r="AC433" s="532"/>
      <c r="AD433" s="532"/>
      <c r="AE433" s="532"/>
      <c r="AF433" s="532"/>
      <c r="AG433" s="532"/>
      <c r="AH433" s="532"/>
      <c r="AI433" s="532"/>
      <c r="AJ433" s="532"/>
      <c r="AK433" s="532"/>
      <c r="AL433" s="532"/>
      <c r="AM433" s="532"/>
      <c r="AN433" s="532"/>
      <c r="AO433" s="532"/>
      <c r="AP433" s="532"/>
      <c r="AQ433" s="532"/>
      <c r="AR433" s="532"/>
      <c r="AS433" s="532"/>
      <c r="AT433" s="532"/>
      <c r="AU433" s="532"/>
      <c r="AV433" s="532"/>
      <c r="AW433" s="532"/>
      <c r="AX433" s="532"/>
      <c r="AY433" s="532"/>
    </row>
    <row r="434" spans="2:51" ht="12.95" customHeight="1" x14ac:dyDescent="0.2">
      <c r="B434" s="532"/>
      <c r="C434" s="532"/>
      <c r="D434" s="532"/>
      <c r="E434" s="532"/>
      <c r="F434" s="532"/>
      <c r="G434" s="532"/>
      <c r="H434" s="532"/>
      <c r="I434" s="532"/>
      <c r="J434" s="532"/>
      <c r="K434" s="532"/>
      <c r="L434" s="532"/>
      <c r="M434" s="532"/>
      <c r="N434" s="532"/>
      <c r="O434" s="532"/>
      <c r="P434" s="532"/>
      <c r="Q434" s="532"/>
      <c r="R434" s="532"/>
      <c r="S434" s="532"/>
      <c r="T434" s="532"/>
      <c r="U434" s="532"/>
      <c r="V434" s="532"/>
      <c r="W434" s="532"/>
      <c r="X434" s="532"/>
      <c r="Y434" s="532"/>
      <c r="Z434" s="532"/>
      <c r="AA434" s="532"/>
      <c r="AB434" s="532"/>
      <c r="AC434" s="532"/>
      <c r="AD434" s="532"/>
      <c r="AE434" s="532"/>
      <c r="AF434" s="532"/>
      <c r="AG434" s="532"/>
      <c r="AH434" s="532"/>
      <c r="AI434" s="532"/>
      <c r="AJ434" s="532"/>
      <c r="AK434" s="532"/>
      <c r="AL434" s="532"/>
      <c r="AM434" s="532"/>
      <c r="AN434" s="532"/>
      <c r="AO434" s="532"/>
      <c r="AP434" s="532"/>
      <c r="AQ434" s="532"/>
      <c r="AR434" s="532"/>
      <c r="AS434" s="532"/>
      <c r="AT434" s="532"/>
      <c r="AU434" s="532"/>
      <c r="AV434" s="532"/>
      <c r="AW434" s="532"/>
      <c r="AX434" s="532"/>
      <c r="AY434" s="532"/>
    </row>
    <row r="435" spans="2:51" ht="12.95" customHeight="1" x14ac:dyDescent="0.2">
      <c r="B435" s="532"/>
      <c r="C435" s="532"/>
      <c r="D435" s="532"/>
      <c r="E435" s="532"/>
      <c r="F435" s="532"/>
      <c r="G435" s="532"/>
      <c r="H435" s="532"/>
      <c r="I435" s="532"/>
      <c r="J435" s="532"/>
      <c r="K435" s="532"/>
      <c r="L435" s="53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c r="AM435" s="532"/>
      <c r="AN435" s="532"/>
      <c r="AO435" s="532"/>
      <c r="AP435" s="532"/>
      <c r="AQ435" s="532"/>
      <c r="AR435" s="532"/>
      <c r="AS435" s="532"/>
      <c r="AT435" s="532"/>
      <c r="AU435" s="532"/>
      <c r="AV435" s="532"/>
      <c r="AW435" s="532"/>
      <c r="AX435" s="532"/>
      <c r="AY435" s="532"/>
    </row>
    <row r="436" spans="2:51" ht="12.95" customHeight="1" x14ac:dyDescent="0.2">
      <c r="B436" s="532"/>
      <c r="C436" s="532"/>
      <c r="D436" s="532"/>
      <c r="E436" s="532"/>
      <c r="F436" s="532"/>
      <c r="G436" s="532"/>
      <c r="H436" s="532"/>
      <c r="I436" s="532"/>
      <c r="J436" s="532"/>
      <c r="K436" s="532"/>
      <c r="L436" s="532"/>
      <c r="M436" s="532"/>
      <c r="N436" s="532"/>
      <c r="O436" s="532"/>
      <c r="P436" s="532"/>
      <c r="Q436" s="532"/>
      <c r="R436" s="532"/>
      <c r="S436" s="532"/>
      <c r="T436" s="532"/>
      <c r="U436" s="532"/>
      <c r="V436" s="532"/>
      <c r="W436" s="532"/>
      <c r="X436" s="532"/>
      <c r="Y436" s="532"/>
      <c r="Z436" s="532"/>
      <c r="AA436" s="532"/>
      <c r="AB436" s="532"/>
      <c r="AC436" s="532"/>
      <c r="AD436" s="532"/>
      <c r="AE436" s="532"/>
      <c r="AF436" s="532"/>
      <c r="AG436" s="532"/>
      <c r="AH436" s="532"/>
      <c r="AI436" s="532"/>
      <c r="AJ436" s="532"/>
      <c r="AK436" s="532"/>
      <c r="AL436" s="532"/>
      <c r="AM436" s="532"/>
      <c r="AN436" s="532"/>
      <c r="AO436" s="532"/>
      <c r="AP436" s="532"/>
      <c r="AQ436" s="532"/>
      <c r="AR436" s="532"/>
      <c r="AS436" s="532"/>
      <c r="AT436" s="532"/>
      <c r="AU436" s="532"/>
      <c r="AV436" s="532"/>
      <c r="AW436" s="532"/>
      <c r="AX436" s="532"/>
      <c r="AY436" s="532"/>
    </row>
    <row r="437" spans="2:51" ht="12.95" customHeight="1" x14ac:dyDescent="0.2">
      <c r="B437" s="532"/>
      <c r="C437" s="532"/>
      <c r="D437" s="532"/>
      <c r="E437" s="532"/>
      <c r="F437" s="532"/>
      <c r="G437" s="532"/>
      <c r="H437" s="532"/>
      <c r="I437" s="532"/>
      <c r="J437" s="532"/>
      <c r="K437" s="532"/>
      <c r="L437" s="532"/>
      <c r="M437" s="532"/>
      <c r="N437" s="532"/>
      <c r="O437" s="532"/>
      <c r="P437" s="532"/>
      <c r="Q437" s="532"/>
      <c r="R437" s="532"/>
      <c r="S437" s="532"/>
      <c r="T437" s="532"/>
      <c r="U437" s="532"/>
      <c r="V437" s="532"/>
      <c r="W437" s="532"/>
      <c r="X437" s="532"/>
      <c r="Y437" s="532"/>
      <c r="Z437" s="532"/>
      <c r="AA437" s="532"/>
      <c r="AB437" s="532"/>
      <c r="AC437" s="532"/>
      <c r="AD437" s="532"/>
      <c r="AE437" s="532"/>
      <c r="AF437" s="532"/>
      <c r="AG437" s="532"/>
      <c r="AH437" s="532"/>
      <c r="AI437" s="532"/>
      <c r="AJ437" s="532"/>
      <c r="AK437" s="532"/>
      <c r="AL437" s="532"/>
      <c r="AM437" s="532"/>
      <c r="AN437" s="532"/>
      <c r="AO437" s="532"/>
      <c r="AP437" s="532"/>
      <c r="AQ437" s="532"/>
      <c r="AR437" s="532"/>
      <c r="AS437" s="532"/>
      <c r="AT437" s="532"/>
      <c r="AU437" s="532"/>
      <c r="AV437" s="532"/>
      <c r="AW437" s="532"/>
      <c r="AX437" s="532"/>
      <c r="AY437" s="532"/>
    </row>
    <row r="438" spans="2:51" ht="12.95" customHeight="1" x14ac:dyDescent="0.2">
      <c r="B438" s="532"/>
      <c r="C438" s="532"/>
      <c r="D438" s="532"/>
      <c r="E438" s="532"/>
      <c r="F438" s="532"/>
      <c r="G438" s="532"/>
      <c r="H438" s="532"/>
      <c r="I438" s="532"/>
      <c r="J438" s="532"/>
      <c r="K438" s="532"/>
      <c r="L438" s="53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c r="AM438" s="532"/>
      <c r="AN438" s="532"/>
      <c r="AO438" s="532"/>
      <c r="AP438" s="532"/>
      <c r="AQ438" s="532"/>
      <c r="AR438" s="532"/>
      <c r="AS438" s="532"/>
      <c r="AT438" s="532"/>
      <c r="AU438" s="532"/>
      <c r="AV438" s="532"/>
      <c r="AW438" s="532"/>
      <c r="AX438" s="532"/>
      <c r="AY438" s="532"/>
    </row>
    <row r="439" spans="2:51" ht="12.95" customHeight="1" x14ac:dyDescent="0.2">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c r="AM439" s="532"/>
      <c r="AN439" s="532"/>
      <c r="AO439" s="532"/>
      <c r="AP439" s="532"/>
      <c r="AQ439" s="532"/>
      <c r="AR439" s="532"/>
      <c r="AS439" s="532"/>
      <c r="AT439" s="532"/>
      <c r="AU439" s="532"/>
      <c r="AV439" s="532"/>
      <c r="AW439" s="532"/>
      <c r="AX439" s="532"/>
      <c r="AY439" s="532"/>
    </row>
    <row r="440" spans="2:51" ht="12.95" customHeight="1" x14ac:dyDescent="0.2">
      <c r="B440" s="532"/>
      <c r="C440" s="532"/>
      <c r="D440" s="532"/>
      <c r="E440" s="532"/>
      <c r="F440" s="532"/>
      <c r="G440" s="532"/>
      <c r="H440" s="532"/>
      <c r="I440" s="532"/>
      <c r="J440" s="532"/>
      <c r="K440" s="532"/>
      <c r="L440" s="532"/>
      <c r="M440" s="532"/>
      <c r="N440" s="532"/>
      <c r="O440" s="532"/>
      <c r="P440" s="532"/>
      <c r="Q440" s="532"/>
      <c r="R440" s="532"/>
      <c r="S440" s="532"/>
      <c r="T440" s="532"/>
      <c r="U440" s="532"/>
      <c r="V440" s="532"/>
      <c r="W440" s="532"/>
      <c r="X440" s="532"/>
      <c r="Y440" s="532"/>
      <c r="Z440" s="532"/>
      <c r="AA440" s="532"/>
      <c r="AB440" s="532"/>
      <c r="AC440" s="532"/>
      <c r="AD440" s="532"/>
      <c r="AE440" s="532"/>
      <c r="AF440" s="532"/>
      <c r="AG440" s="532"/>
      <c r="AH440" s="532"/>
      <c r="AI440" s="532"/>
      <c r="AJ440" s="532"/>
      <c r="AK440" s="532"/>
      <c r="AL440" s="532"/>
      <c r="AM440" s="532"/>
      <c r="AN440" s="532"/>
      <c r="AO440" s="532"/>
      <c r="AP440" s="532"/>
      <c r="AQ440" s="532"/>
      <c r="AR440" s="532"/>
      <c r="AS440" s="532"/>
      <c r="AT440" s="532"/>
      <c r="AU440" s="532"/>
      <c r="AV440" s="532"/>
      <c r="AW440" s="532"/>
      <c r="AX440" s="532"/>
      <c r="AY440" s="532"/>
    </row>
    <row r="441" spans="2:51" ht="12.95" customHeight="1" x14ac:dyDescent="0.2">
      <c r="B441" s="532"/>
      <c r="C441" s="532"/>
      <c r="D441" s="532"/>
      <c r="E441" s="532"/>
      <c r="F441" s="532"/>
      <c r="G441" s="532"/>
      <c r="H441" s="532"/>
      <c r="I441" s="532"/>
      <c r="J441" s="532"/>
      <c r="K441" s="532"/>
      <c r="L441" s="532"/>
      <c r="M441" s="532"/>
      <c r="N441" s="532"/>
      <c r="O441" s="532"/>
      <c r="P441" s="532"/>
      <c r="Q441" s="532"/>
      <c r="R441" s="532"/>
      <c r="S441" s="532"/>
      <c r="T441" s="532"/>
      <c r="U441" s="532"/>
      <c r="V441" s="532"/>
      <c r="W441" s="532"/>
      <c r="X441" s="532"/>
      <c r="Y441" s="532"/>
      <c r="Z441" s="532"/>
      <c r="AA441" s="532"/>
      <c r="AB441" s="532"/>
      <c r="AC441" s="532"/>
      <c r="AD441" s="532"/>
      <c r="AE441" s="532"/>
      <c r="AF441" s="532"/>
      <c r="AG441" s="532"/>
      <c r="AH441" s="532"/>
      <c r="AI441" s="532"/>
      <c r="AJ441" s="532"/>
      <c r="AK441" s="532"/>
      <c r="AL441" s="532"/>
      <c r="AM441" s="532"/>
      <c r="AN441" s="532"/>
      <c r="AO441" s="532"/>
      <c r="AP441" s="532"/>
      <c r="AQ441" s="532"/>
      <c r="AR441" s="532"/>
      <c r="AS441" s="532"/>
      <c r="AT441" s="532"/>
      <c r="AU441" s="532"/>
      <c r="AV441" s="532"/>
      <c r="AW441" s="532"/>
      <c r="AX441" s="532"/>
      <c r="AY441" s="532"/>
    </row>
    <row r="442" spans="2:51" ht="12.95" customHeight="1" x14ac:dyDescent="0.2">
      <c r="B442" s="532"/>
      <c r="C442" s="532"/>
      <c r="D442" s="532"/>
      <c r="E442" s="532"/>
      <c r="F442" s="532"/>
      <c r="G442" s="532"/>
      <c r="H442" s="532"/>
      <c r="I442" s="532"/>
      <c r="J442" s="532"/>
      <c r="K442" s="532"/>
      <c r="L442" s="532"/>
      <c r="M442" s="532"/>
      <c r="N442" s="532"/>
      <c r="O442" s="532"/>
      <c r="P442" s="532"/>
      <c r="Q442" s="532"/>
      <c r="R442" s="532"/>
      <c r="S442" s="532"/>
      <c r="T442" s="532"/>
      <c r="U442" s="532"/>
      <c r="V442" s="532"/>
      <c r="W442" s="532"/>
      <c r="X442" s="532"/>
      <c r="Y442" s="532"/>
      <c r="Z442" s="532"/>
      <c r="AA442" s="532"/>
      <c r="AB442" s="532"/>
      <c r="AC442" s="532"/>
      <c r="AD442" s="532"/>
      <c r="AE442" s="532"/>
      <c r="AF442" s="532"/>
      <c r="AG442" s="532"/>
      <c r="AH442" s="532"/>
      <c r="AI442" s="532"/>
      <c r="AJ442" s="532"/>
      <c r="AK442" s="532"/>
      <c r="AL442" s="532"/>
      <c r="AM442" s="532"/>
      <c r="AN442" s="532"/>
      <c r="AO442" s="532"/>
      <c r="AP442" s="532"/>
      <c r="AQ442" s="532"/>
      <c r="AR442" s="532"/>
      <c r="AS442" s="532"/>
      <c r="AT442" s="532"/>
      <c r="AU442" s="532"/>
      <c r="AV442" s="532"/>
      <c r="AW442" s="532"/>
      <c r="AX442" s="532"/>
      <c r="AY442" s="532"/>
    </row>
    <row r="443" spans="2:51" ht="12.95" customHeight="1" x14ac:dyDescent="0.2">
      <c r="B443" s="532"/>
      <c r="C443" s="532"/>
      <c r="D443" s="532"/>
      <c r="E443" s="532"/>
      <c r="F443" s="532"/>
      <c r="G443" s="532"/>
      <c r="H443" s="532"/>
      <c r="I443" s="532"/>
      <c r="J443" s="532"/>
      <c r="K443" s="532"/>
      <c r="L443" s="532"/>
      <c r="M443" s="532"/>
      <c r="N443" s="532"/>
      <c r="O443" s="532"/>
      <c r="P443" s="532"/>
      <c r="Q443" s="532"/>
      <c r="R443" s="532"/>
      <c r="S443" s="532"/>
      <c r="T443" s="532"/>
      <c r="U443" s="532"/>
      <c r="V443" s="532"/>
      <c r="W443" s="532"/>
      <c r="X443" s="532"/>
      <c r="Y443" s="532"/>
      <c r="Z443" s="532"/>
      <c r="AA443" s="532"/>
      <c r="AB443" s="532"/>
      <c r="AC443" s="532"/>
      <c r="AD443" s="532"/>
      <c r="AE443" s="532"/>
      <c r="AF443" s="532"/>
      <c r="AG443" s="532"/>
      <c r="AH443" s="532"/>
      <c r="AI443" s="532"/>
      <c r="AJ443" s="532"/>
      <c r="AK443" s="532"/>
      <c r="AL443" s="532"/>
      <c r="AM443" s="532"/>
      <c r="AN443" s="532"/>
      <c r="AO443" s="532"/>
      <c r="AP443" s="532"/>
      <c r="AQ443" s="532"/>
      <c r="AR443" s="532"/>
      <c r="AS443" s="532"/>
      <c r="AT443" s="532"/>
      <c r="AU443" s="532"/>
      <c r="AV443" s="532"/>
      <c r="AW443" s="532"/>
      <c r="AX443" s="532"/>
      <c r="AY443" s="532"/>
    </row>
    <row r="444" spans="2:51" ht="12.95" customHeight="1" x14ac:dyDescent="0.2">
      <c r="B444" s="532"/>
      <c r="C444" s="532"/>
      <c r="D444" s="532"/>
      <c r="E444" s="532"/>
      <c r="F444" s="532"/>
      <c r="G444" s="532"/>
      <c r="H444" s="532"/>
      <c r="I444" s="532"/>
      <c r="J444" s="532"/>
      <c r="K444" s="532"/>
      <c r="L444" s="532"/>
      <c r="M444" s="532"/>
      <c r="N444" s="532"/>
      <c r="O444" s="532"/>
      <c r="P444" s="532"/>
      <c r="Q444" s="532"/>
      <c r="R444" s="532"/>
      <c r="S444" s="532"/>
      <c r="T444" s="532"/>
      <c r="U444" s="532"/>
      <c r="V444" s="532"/>
      <c r="W444" s="532"/>
      <c r="X444" s="532"/>
      <c r="Y444" s="532"/>
      <c r="Z444" s="532"/>
      <c r="AA444" s="532"/>
      <c r="AB444" s="532"/>
      <c r="AC444" s="532"/>
      <c r="AD444" s="532"/>
      <c r="AE444" s="532"/>
      <c r="AF444" s="532"/>
      <c r="AG444" s="532"/>
      <c r="AH444" s="532"/>
      <c r="AI444" s="532"/>
      <c r="AJ444" s="532"/>
      <c r="AK444" s="532"/>
      <c r="AL444" s="532"/>
      <c r="AM444" s="532"/>
      <c r="AN444" s="532"/>
      <c r="AO444" s="532"/>
      <c r="AP444" s="532"/>
      <c r="AQ444" s="532"/>
      <c r="AR444" s="532"/>
      <c r="AS444" s="532"/>
      <c r="AT444" s="532"/>
      <c r="AU444" s="532"/>
      <c r="AV444" s="532"/>
      <c r="AW444" s="532"/>
      <c r="AX444" s="532"/>
      <c r="AY444" s="532"/>
    </row>
    <row r="445" spans="2:51" ht="12.95" customHeight="1" x14ac:dyDescent="0.2">
      <c r="B445" s="532"/>
      <c r="C445" s="532"/>
      <c r="D445" s="532"/>
      <c r="E445" s="532"/>
      <c r="F445" s="532"/>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c r="AM445" s="532"/>
      <c r="AN445" s="532"/>
      <c r="AO445" s="532"/>
      <c r="AP445" s="532"/>
      <c r="AQ445" s="532"/>
      <c r="AR445" s="532"/>
      <c r="AS445" s="532"/>
      <c r="AT445" s="532"/>
      <c r="AU445" s="532"/>
      <c r="AV445" s="532"/>
      <c r="AW445" s="532"/>
      <c r="AX445" s="532"/>
      <c r="AY445" s="532"/>
    </row>
    <row r="446" spans="2:51" ht="12.95" customHeight="1" x14ac:dyDescent="0.2">
      <c r="B446" s="532"/>
      <c r="C446" s="532"/>
      <c r="D446" s="532"/>
      <c r="E446" s="532"/>
      <c r="F446" s="532"/>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row>
    <row r="447" spans="2:51" ht="12.95" customHeight="1" x14ac:dyDescent="0.2">
      <c r="B447" s="532"/>
      <c r="C447" s="532"/>
      <c r="D447" s="532"/>
      <c r="E447" s="532"/>
      <c r="F447" s="532"/>
      <c r="G447" s="532"/>
      <c r="H447" s="532"/>
      <c r="I447" s="532"/>
      <c r="J447" s="532"/>
      <c r="K447" s="532"/>
      <c r="L447" s="532"/>
      <c r="M447" s="532"/>
      <c r="N447" s="532"/>
      <c r="O447" s="532"/>
      <c r="P447" s="532"/>
      <c r="Q447" s="532"/>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c r="AM447" s="532"/>
      <c r="AN447" s="532"/>
      <c r="AO447" s="532"/>
      <c r="AP447" s="532"/>
      <c r="AQ447" s="532"/>
      <c r="AR447" s="532"/>
      <c r="AS447" s="532"/>
      <c r="AT447" s="532"/>
      <c r="AU447" s="532"/>
      <c r="AV447" s="532"/>
      <c r="AW447" s="532"/>
      <c r="AX447" s="532"/>
      <c r="AY447" s="532"/>
    </row>
    <row r="448" spans="2:51" ht="12.95" customHeight="1" x14ac:dyDescent="0.2">
      <c r="B448" s="532"/>
      <c r="C448" s="532"/>
      <c r="D448" s="532"/>
      <c r="E448" s="532"/>
      <c r="F448" s="532"/>
      <c r="G448" s="532"/>
      <c r="H448" s="532"/>
      <c r="I448" s="532"/>
      <c r="J448" s="532"/>
      <c r="K448" s="532"/>
      <c r="L448" s="532"/>
      <c r="M448" s="532"/>
      <c r="N448" s="532"/>
      <c r="O448" s="532"/>
      <c r="P448" s="532"/>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c r="AM448" s="532"/>
      <c r="AN448" s="532"/>
      <c r="AO448" s="532"/>
      <c r="AP448" s="532"/>
      <c r="AQ448" s="532"/>
      <c r="AR448" s="532"/>
      <c r="AS448" s="532"/>
      <c r="AT448" s="532"/>
      <c r="AU448" s="532"/>
      <c r="AV448" s="532"/>
      <c r="AW448" s="532"/>
      <c r="AX448" s="532"/>
      <c r="AY448" s="532"/>
    </row>
    <row r="449" spans="2:51" ht="12.95" customHeight="1" x14ac:dyDescent="0.2">
      <c r="B449" s="532"/>
      <c r="C449" s="532"/>
      <c r="D449" s="532"/>
      <c r="E449" s="532"/>
      <c r="F449" s="532"/>
      <c r="G449" s="532"/>
      <c r="H449" s="532"/>
      <c r="I449" s="532"/>
      <c r="J449" s="532"/>
      <c r="K449" s="532"/>
      <c r="L449" s="532"/>
      <c r="M449" s="532"/>
      <c r="N449" s="532"/>
      <c r="O449" s="532"/>
      <c r="P449" s="532"/>
      <c r="Q449" s="532"/>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c r="AM449" s="532"/>
      <c r="AN449" s="532"/>
      <c r="AO449" s="532"/>
      <c r="AP449" s="532"/>
      <c r="AQ449" s="532"/>
      <c r="AR449" s="532"/>
      <c r="AS449" s="532"/>
      <c r="AT449" s="532"/>
      <c r="AU449" s="532"/>
      <c r="AV449" s="532"/>
      <c r="AW449" s="532"/>
      <c r="AX449" s="532"/>
      <c r="AY449" s="532"/>
    </row>
    <row r="450" spans="2:51" ht="12.95" customHeight="1" x14ac:dyDescent="0.2">
      <c r="B450" s="532"/>
      <c r="C450" s="532"/>
      <c r="D450" s="532"/>
      <c r="E450" s="532"/>
      <c r="F450" s="532"/>
      <c r="G450" s="532"/>
      <c r="H450" s="532"/>
      <c r="I450" s="532"/>
      <c r="J450" s="532"/>
      <c r="K450" s="532"/>
      <c r="L450" s="532"/>
      <c r="M450" s="532"/>
      <c r="N450" s="532"/>
      <c r="O450" s="532"/>
      <c r="P450" s="532"/>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c r="AM450" s="532"/>
      <c r="AN450" s="532"/>
      <c r="AO450" s="532"/>
      <c r="AP450" s="532"/>
      <c r="AQ450" s="532"/>
      <c r="AR450" s="532"/>
      <c r="AS450" s="532"/>
      <c r="AT450" s="532"/>
      <c r="AU450" s="532"/>
      <c r="AV450" s="532"/>
      <c r="AW450" s="532"/>
      <c r="AX450" s="532"/>
      <c r="AY450" s="532"/>
    </row>
    <row r="451" spans="2:51" ht="12.95" customHeight="1" x14ac:dyDescent="0.2">
      <c r="B451" s="532"/>
      <c r="C451" s="532"/>
      <c r="D451" s="532"/>
      <c r="E451" s="532"/>
      <c r="F451" s="532"/>
      <c r="G451" s="532"/>
      <c r="H451" s="532"/>
      <c r="I451" s="532"/>
      <c r="J451" s="532"/>
      <c r="K451" s="532"/>
      <c r="L451" s="532"/>
      <c r="M451" s="532"/>
      <c r="N451" s="532"/>
      <c r="O451" s="532"/>
      <c r="P451" s="532"/>
      <c r="Q451" s="532"/>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c r="AM451" s="532"/>
      <c r="AN451" s="532"/>
      <c r="AO451" s="532"/>
      <c r="AP451" s="532"/>
      <c r="AQ451" s="532"/>
      <c r="AR451" s="532"/>
      <c r="AS451" s="532"/>
      <c r="AT451" s="532"/>
      <c r="AU451" s="532"/>
      <c r="AV451" s="532"/>
      <c r="AW451" s="532"/>
      <c r="AX451" s="532"/>
      <c r="AY451" s="532"/>
    </row>
    <row r="452" spans="2:51" ht="12.95" customHeight="1" x14ac:dyDescent="0.2">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row>
    <row r="453" spans="2:51" ht="12.95" customHeight="1" x14ac:dyDescent="0.2">
      <c r="B453" s="532"/>
      <c r="C453" s="532"/>
      <c r="D453" s="532"/>
      <c r="E453" s="532"/>
      <c r="F453" s="532"/>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c r="AM453" s="532"/>
      <c r="AN453" s="532"/>
      <c r="AO453" s="532"/>
      <c r="AP453" s="532"/>
      <c r="AQ453" s="532"/>
      <c r="AR453" s="532"/>
      <c r="AS453" s="532"/>
      <c r="AT453" s="532"/>
      <c r="AU453" s="532"/>
      <c r="AV453" s="532"/>
      <c r="AW453" s="532"/>
      <c r="AX453" s="532"/>
      <c r="AY453" s="532"/>
    </row>
    <row r="454" spans="2:51" ht="12.95" customHeight="1" x14ac:dyDescent="0.2">
      <c r="B454" s="532"/>
      <c r="C454" s="532"/>
      <c r="D454" s="532"/>
      <c r="E454" s="532"/>
      <c r="F454" s="532"/>
      <c r="G454" s="532"/>
      <c r="H454" s="532"/>
      <c r="I454" s="532"/>
      <c r="J454" s="532"/>
      <c r="K454" s="532"/>
      <c r="L454" s="53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c r="AM454" s="532"/>
      <c r="AN454" s="532"/>
      <c r="AO454" s="532"/>
      <c r="AP454" s="532"/>
      <c r="AQ454" s="532"/>
      <c r="AR454" s="532"/>
      <c r="AS454" s="532"/>
      <c r="AT454" s="532"/>
      <c r="AU454" s="532"/>
      <c r="AV454" s="532"/>
      <c r="AW454" s="532"/>
      <c r="AX454" s="532"/>
      <c r="AY454" s="532"/>
    </row>
    <row r="455" spans="2:51" ht="12.95" customHeight="1" x14ac:dyDescent="0.2">
      <c r="B455" s="532"/>
      <c r="C455" s="532"/>
      <c r="D455" s="532"/>
      <c r="E455" s="532"/>
      <c r="F455" s="532"/>
      <c r="G455" s="532"/>
      <c r="H455" s="532"/>
      <c r="I455" s="532"/>
      <c r="J455" s="532"/>
      <c r="K455" s="532"/>
      <c r="L455" s="532"/>
      <c r="M455" s="532"/>
      <c r="N455" s="532"/>
      <c r="O455" s="532"/>
      <c r="P455" s="532"/>
      <c r="Q455" s="532"/>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c r="AM455" s="532"/>
      <c r="AN455" s="532"/>
      <c r="AO455" s="532"/>
      <c r="AP455" s="532"/>
      <c r="AQ455" s="532"/>
      <c r="AR455" s="532"/>
      <c r="AS455" s="532"/>
      <c r="AT455" s="532"/>
      <c r="AU455" s="532"/>
      <c r="AV455" s="532"/>
      <c r="AW455" s="532"/>
      <c r="AX455" s="532"/>
      <c r="AY455" s="532"/>
    </row>
    <row r="456" spans="2:51" ht="12.95" customHeight="1" x14ac:dyDescent="0.2">
      <c r="B456" s="532"/>
      <c r="C456" s="532"/>
      <c r="D456" s="532"/>
      <c r="E456" s="532"/>
      <c r="F456" s="532"/>
      <c r="G456" s="532"/>
      <c r="H456" s="532"/>
      <c r="I456" s="532"/>
      <c r="J456" s="532"/>
      <c r="K456" s="532"/>
      <c r="L456" s="532"/>
      <c r="M456" s="532"/>
      <c r="N456" s="532"/>
      <c r="O456" s="532"/>
      <c r="P456" s="532"/>
      <c r="Q456" s="532"/>
      <c r="R456" s="532"/>
      <c r="S456" s="532"/>
      <c r="T456" s="532"/>
      <c r="U456" s="532"/>
      <c r="V456" s="532"/>
      <c r="W456" s="532"/>
      <c r="X456" s="532"/>
      <c r="Y456" s="532"/>
      <c r="Z456" s="532"/>
      <c r="AA456" s="532"/>
      <c r="AB456" s="532"/>
      <c r="AC456" s="532"/>
      <c r="AD456" s="532"/>
      <c r="AE456" s="532"/>
      <c r="AF456" s="532"/>
      <c r="AG456" s="532"/>
      <c r="AH456" s="532"/>
      <c r="AI456" s="532"/>
      <c r="AJ456" s="532"/>
      <c r="AK456" s="532"/>
      <c r="AL456" s="532"/>
      <c r="AM456" s="532"/>
      <c r="AN456" s="532"/>
      <c r="AO456" s="532"/>
      <c r="AP456" s="532"/>
      <c r="AQ456" s="532"/>
      <c r="AR456" s="532"/>
      <c r="AS456" s="532"/>
      <c r="AT456" s="532"/>
      <c r="AU456" s="532"/>
      <c r="AV456" s="532"/>
      <c r="AW456" s="532"/>
      <c r="AX456" s="532"/>
      <c r="AY456" s="532"/>
    </row>
    <row r="457" spans="2:51" ht="12.95" customHeight="1" x14ac:dyDescent="0.2">
      <c r="B457" s="532"/>
      <c r="C457" s="532"/>
      <c r="D457" s="532"/>
      <c r="E457" s="532"/>
      <c r="F457" s="532"/>
      <c r="G457" s="532"/>
      <c r="H457" s="532"/>
      <c r="I457" s="532"/>
      <c r="J457" s="532"/>
      <c r="K457" s="532"/>
      <c r="L457" s="532"/>
      <c r="M457" s="532"/>
      <c r="N457" s="532"/>
      <c r="O457" s="532"/>
      <c r="P457" s="532"/>
      <c r="Q457" s="532"/>
      <c r="R457" s="532"/>
      <c r="S457" s="532"/>
      <c r="T457" s="532"/>
      <c r="U457" s="532"/>
      <c r="V457" s="532"/>
      <c r="W457" s="532"/>
      <c r="X457" s="532"/>
      <c r="Y457" s="532"/>
      <c r="Z457" s="532"/>
      <c r="AA457" s="532"/>
      <c r="AB457" s="532"/>
      <c r="AC457" s="532"/>
      <c r="AD457" s="532"/>
      <c r="AE457" s="532"/>
      <c r="AF457" s="532"/>
      <c r="AG457" s="532"/>
      <c r="AH457" s="532"/>
      <c r="AI457" s="532"/>
      <c r="AJ457" s="532"/>
      <c r="AK457" s="532"/>
      <c r="AL457" s="532"/>
      <c r="AM457" s="532"/>
      <c r="AN457" s="532"/>
      <c r="AO457" s="532"/>
      <c r="AP457" s="532"/>
      <c r="AQ457" s="532"/>
      <c r="AR457" s="532"/>
      <c r="AS457" s="532"/>
      <c r="AT457" s="532"/>
      <c r="AU457" s="532"/>
      <c r="AV457" s="532"/>
      <c r="AW457" s="532"/>
      <c r="AX457" s="532"/>
      <c r="AY457" s="532"/>
    </row>
    <row r="458" spans="2:51" ht="12.95" customHeight="1" x14ac:dyDescent="0.2">
      <c r="B458" s="532"/>
      <c r="C458" s="532"/>
      <c r="D458" s="532"/>
      <c r="E458" s="532"/>
      <c r="F458" s="532"/>
      <c r="G458" s="532"/>
      <c r="H458" s="532"/>
      <c r="I458" s="532"/>
      <c r="J458" s="532"/>
      <c r="K458" s="532"/>
      <c r="L458" s="532"/>
      <c r="M458" s="532"/>
      <c r="N458" s="532"/>
      <c r="O458" s="532"/>
      <c r="P458" s="532"/>
      <c r="Q458" s="532"/>
      <c r="R458" s="532"/>
      <c r="S458" s="532"/>
      <c r="T458" s="532"/>
      <c r="U458" s="532"/>
      <c r="V458" s="532"/>
      <c r="W458" s="532"/>
      <c r="X458" s="532"/>
      <c r="Y458" s="532"/>
      <c r="Z458" s="532"/>
      <c r="AA458" s="532"/>
      <c r="AB458" s="532"/>
      <c r="AC458" s="532"/>
      <c r="AD458" s="532"/>
      <c r="AE458" s="532"/>
      <c r="AF458" s="532"/>
      <c r="AG458" s="532"/>
      <c r="AH458" s="532"/>
      <c r="AI458" s="532"/>
      <c r="AJ458" s="532"/>
      <c r="AK458" s="532"/>
      <c r="AL458" s="532"/>
      <c r="AM458" s="532"/>
      <c r="AN458" s="532"/>
      <c r="AO458" s="532"/>
      <c r="AP458" s="532"/>
      <c r="AQ458" s="532"/>
      <c r="AR458" s="532"/>
      <c r="AS458" s="532"/>
      <c r="AT458" s="532"/>
      <c r="AU458" s="532"/>
      <c r="AV458" s="532"/>
      <c r="AW458" s="532"/>
      <c r="AX458" s="532"/>
      <c r="AY458" s="532"/>
    </row>
  </sheetData>
  <mergeCells count="213">
    <mergeCell ref="D372:G372"/>
    <mergeCell ref="H372:N372"/>
    <mergeCell ref="O372:O374"/>
    <mergeCell ref="B373:B374"/>
    <mergeCell ref="D373:D374"/>
    <mergeCell ref="E373:E374"/>
    <mergeCell ref="F373:F374"/>
    <mergeCell ref="G373:G374"/>
    <mergeCell ref="H373:H374"/>
    <mergeCell ref="I373:I374"/>
    <mergeCell ref="J373:K373"/>
    <mergeCell ref="L373:M373"/>
    <mergeCell ref="N373:N374"/>
    <mergeCell ref="D344:G344"/>
    <mergeCell ref="H344:N344"/>
    <mergeCell ref="O344:O346"/>
    <mergeCell ref="B345:B346"/>
    <mergeCell ref="D345:D346"/>
    <mergeCell ref="E345:E346"/>
    <mergeCell ref="F345:F346"/>
    <mergeCell ref="G345:G346"/>
    <mergeCell ref="H345:H346"/>
    <mergeCell ref="I345:I346"/>
    <mergeCell ref="J345:K345"/>
    <mergeCell ref="L345:M345"/>
    <mergeCell ref="N345:N346"/>
    <mergeCell ref="D316:G316"/>
    <mergeCell ref="H316:N316"/>
    <mergeCell ref="O316:O318"/>
    <mergeCell ref="B317:B318"/>
    <mergeCell ref="D317:D318"/>
    <mergeCell ref="E317:E318"/>
    <mergeCell ref="F317:F318"/>
    <mergeCell ref="G317:G318"/>
    <mergeCell ref="H317:H318"/>
    <mergeCell ref="I317:I318"/>
    <mergeCell ref="J317:K317"/>
    <mergeCell ref="L317:M317"/>
    <mergeCell ref="N317:N318"/>
    <mergeCell ref="D288:G288"/>
    <mergeCell ref="H288:N288"/>
    <mergeCell ref="O288:O290"/>
    <mergeCell ref="B289:B290"/>
    <mergeCell ref="D289:D290"/>
    <mergeCell ref="E289:E290"/>
    <mergeCell ref="F289:F290"/>
    <mergeCell ref="G289:G290"/>
    <mergeCell ref="H289:H290"/>
    <mergeCell ref="I289:I290"/>
    <mergeCell ref="J289:K289"/>
    <mergeCell ref="L289:M289"/>
    <mergeCell ref="N289:N290"/>
    <mergeCell ref="D260:G260"/>
    <mergeCell ref="H260:N260"/>
    <mergeCell ref="O260:O262"/>
    <mergeCell ref="B261:B262"/>
    <mergeCell ref="D261:D262"/>
    <mergeCell ref="E261:E262"/>
    <mergeCell ref="F261:F262"/>
    <mergeCell ref="G261:G262"/>
    <mergeCell ref="H261:H262"/>
    <mergeCell ref="I261:I262"/>
    <mergeCell ref="J261:K261"/>
    <mergeCell ref="L261:M261"/>
    <mergeCell ref="N261:N262"/>
    <mergeCell ref="D232:G232"/>
    <mergeCell ref="H232:N232"/>
    <mergeCell ref="O232:O234"/>
    <mergeCell ref="B233:B234"/>
    <mergeCell ref="D233:D234"/>
    <mergeCell ref="E233:E234"/>
    <mergeCell ref="F233:F234"/>
    <mergeCell ref="G233:G234"/>
    <mergeCell ref="H233:H234"/>
    <mergeCell ref="I233:I234"/>
    <mergeCell ref="J233:K233"/>
    <mergeCell ref="L233:M233"/>
    <mergeCell ref="N233:N234"/>
    <mergeCell ref="D174:G174"/>
    <mergeCell ref="H174:N174"/>
    <mergeCell ref="O174:O176"/>
    <mergeCell ref="B175:B176"/>
    <mergeCell ref="D175:D176"/>
    <mergeCell ref="E175:E176"/>
    <mergeCell ref="F175:F176"/>
    <mergeCell ref="G175:G176"/>
    <mergeCell ref="H175:H176"/>
    <mergeCell ref="I175:I176"/>
    <mergeCell ref="J175:K175"/>
    <mergeCell ref="L175:M175"/>
    <mergeCell ref="N175:N176"/>
    <mergeCell ref="D204:G204"/>
    <mergeCell ref="H204:N204"/>
    <mergeCell ref="O204:O206"/>
    <mergeCell ref="B205:B206"/>
    <mergeCell ref="D205:D206"/>
    <mergeCell ref="E205:E206"/>
    <mergeCell ref="F205:F206"/>
    <mergeCell ref="G205:G206"/>
    <mergeCell ref="H205:H206"/>
    <mergeCell ref="I205:I206"/>
    <mergeCell ref="J205:K205"/>
    <mergeCell ref="L205:M205"/>
    <mergeCell ref="N205:N206"/>
    <mergeCell ref="D146:G146"/>
    <mergeCell ref="H146:N146"/>
    <mergeCell ref="H119:H120"/>
    <mergeCell ref="O146:O148"/>
    <mergeCell ref="B147:B148"/>
    <mergeCell ref="D147:D148"/>
    <mergeCell ref="E147:E148"/>
    <mergeCell ref="F147:F148"/>
    <mergeCell ref="G147:G148"/>
    <mergeCell ref="H147:H148"/>
    <mergeCell ref="I147:I148"/>
    <mergeCell ref="J147:K147"/>
    <mergeCell ref="L147:M147"/>
    <mergeCell ref="N147:N148"/>
    <mergeCell ref="B24:C24"/>
    <mergeCell ref="H118:N118"/>
    <mergeCell ref="O118:O120"/>
    <mergeCell ref="B119:B120"/>
    <mergeCell ref="D119:D120"/>
    <mergeCell ref="I119:I120"/>
    <mergeCell ref="J119:K119"/>
    <mergeCell ref="L119:M119"/>
    <mergeCell ref="I63:I64"/>
    <mergeCell ref="J63:K63"/>
    <mergeCell ref="L63:M63"/>
    <mergeCell ref="I91:I92"/>
    <mergeCell ref="B26:C26"/>
    <mergeCell ref="B27:C27"/>
    <mergeCell ref="B29:C29"/>
    <mergeCell ref="B31:C31"/>
    <mergeCell ref="B32:C32"/>
    <mergeCell ref="H91:H92"/>
    <mergeCell ref="B34:C34"/>
    <mergeCell ref="B35:C35"/>
    <mergeCell ref="B36:C36"/>
    <mergeCell ref="D90:G90"/>
    <mergeCell ref="B46:E46"/>
    <mergeCell ref="B9:O9"/>
    <mergeCell ref="E14:E15"/>
    <mergeCell ref="F14:F15"/>
    <mergeCell ref="G14:G15"/>
    <mergeCell ref="H62:N62"/>
    <mergeCell ref="O13:O15"/>
    <mergeCell ref="O62:O64"/>
    <mergeCell ref="B40:E40"/>
    <mergeCell ref="D13:G13"/>
    <mergeCell ref="D62:G62"/>
    <mergeCell ref="E63:E64"/>
    <mergeCell ref="B14:C15"/>
    <mergeCell ref="B20:C20"/>
    <mergeCell ref="B13:C13"/>
    <mergeCell ref="B21:C21"/>
    <mergeCell ref="B33:C33"/>
    <mergeCell ref="L14:M14"/>
    <mergeCell ref="H14:H15"/>
    <mergeCell ref="B10:O10"/>
    <mergeCell ref="H13:N13"/>
    <mergeCell ref="J14:K14"/>
    <mergeCell ref="B37:C37"/>
    <mergeCell ref="F63:F64"/>
    <mergeCell ref="B18:C18"/>
    <mergeCell ref="B4:K4"/>
    <mergeCell ref="B6:K6"/>
    <mergeCell ref="H90:N90"/>
    <mergeCell ref="J91:K91"/>
    <mergeCell ref="L91:M91"/>
    <mergeCell ref="D118:G118"/>
    <mergeCell ref="E119:E120"/>
    <mergeCell ref="F119:F120"/>
    <mergeCell ref="B23:C23"/>
    <mergeCell ref="B19:C19"/>
    <mergeCell ref="N63:N64"/>
    <mergeCell ref="N91:N92"/>
    <mergeCell ref="N119:N120"/>
    <mergeCell ref="G119:G120"/>
    <mergeCell ref="B65:O65"/>
    <mergeCell ref="B79:O79"/>
    <mergeCell ref="B80:C80"/>
    <mergeCell ref="O90:O92"/>
    <mergeCell ref="B91:B92"/>
    <mergeCell ref="D91:D92"/>
    <mergeCell ref="B63:B64"/>
    <mergeCell ref="D63:D64"/>
    <mergeCell ref="G63:G64"/>
    <mergeCell ref="H63:H64"/>
    <mergeCell ref="N14:N15"/>
    <mergeCell ref="B340:C340"/>
    <mergeCell ref="B368:C368"/>
    <mergeCell ref="B396:C396"/>
    <mergeCell ref="B114:C114"/>
    <mergeCell ref="B142:C142"/>
    <mergeCell ref="B170:C170"/>
    <mergeCell ref="B198:C198"/>
    <mergeCell ref="B228:C228"/>
    <mergeCell ref="B256:C256"/>
    <mergeCell ref="B284:C284"/>
    <mergeCell ref="B312:C312"/>
    <mergeCell ref="E91:E92"/>
    <mergeCell ref="F91:F92"/>
    <mergeCell ref="G91:G92"/>
    <mergeCell ref="B22:C22"/>
    <mergeCell ref="B84:C84"/>
    <mergeCell ref="B85:C85"/>
    <mergeCell ref="B86:C86"/>
    <mergeCell ref="B81:C81"/>
    <mergeCell ref="B82:C82"/>
    <mergeCell ref="B83:C83"/>
    <mergeCell ref="I14:I15"/>
    <mergeCell ref="D14:D15"/>
  </mergeCells>
  <hyperlinks>
    <hyperlink ref="E41" location="Table5" display="Table 5" xr:uid="{00000000-0004-0000-1000-000000000000}"/>
    <hyperlink ref="E42" location="Table6" display="Table 6" xr:uid="{00000000-0004-0000-1000-000001000000}"/>
    <hyperlink ref="E43" location="Table7" display="Table 7" xr:uid="{00000000-0004-0000-1000-000002000000}"/>
    <hyperlink ref="E44" location="Table8" display="Table 8" xr:uid="{00000000-0004-0000-1000-000003000000}"/>
    <hyperlink ref="E45" location="Table9" display="Table 9" xr:uid="{00000000-0004-0000-1000-000004000000}"/>
    <hyperlink ref="E47" location="Table10" display="Table 10" xr:uid="{00000000-0004-0000-1000-000005000000}"/>
    <hyperlink ref="E48" location="Table11" display="Table 11" xr:uid="{00000000-0004-0000-1000-000006000000}"/>
    <hyperlink ref="E49" location="Table12" display="Table 12" xr:uid="{00000000-0004-0000-1000-000007000000}"/>
    <hyperlink ref="P63" location="'Machinery Costs'!A1" display="Return to top" xr:uid="{00000000-0004-0000-1000-000008000000}"/>
    <hyperlink ref="E50" location="Table13" display="Table 13" xr:uid="{00000000-0004-0000-1000-000009000000}"/>
    <hyperlink ref="E51" location="Table14" display="Table 14" xr:uid="{00000000-0004-0000-1000-00000A000000}"/>
    <hyperlink ref="E52" location="Table15" display="Table 15" xr:uid="{00000000-0004-0000-1000-00000B000000}"/>
    <hyperlink ref="E53" location="Table16" display="Table 16" xr:uid="{00000000-0004-0000-1000-00000C000000}"/>
    <hyperlink ref="P62" location="B1_TL" display="Return to budget" xr:uid="{00000000-0004-0000-1000-00000D000000}"/>
    <hyperlink ref="P91" location="'Machinery Costs'!A1" display="Return to top" xr:uid="{00000000-0004-0000-1000-00000E000000}"/>
    <hyperlink ref="P90" location="B1_TL" display="Return to budget" xr:uid="{00000000-0004-0000-1000-00000F000000}"/>
    <hyperlink ref="P119" location="'Machinery Costs'!A1" display="Return to top" xr:uid="{00000000-0004-0000-1000-000010000000}"/>
    <hyperlink ref="P118" location="B2_TL" display="Return to budget" xr:uid="{00000000-0004-0000-1000-000011000000}"/>
    <hyperlink ref="P147" location="'Machinery Costs'!A1" display="Return to top" xr:uid="{00000000-0004-0000-1000-000012000000}"/>
    <hyperlink ref="P146" location="B2_TL" display="Return to budget" xr:uid="{00000000-0004-0000-1000-000013000000}"/>
    <hyperlink ref="P175" location="'Machinery Costs'!A1" display="Return to top" xr:uid="{00000000-0004-0000-1000-000014000000}"/>
    <hyperlink ref="P174" location="B3_TL" display="Return to budget" xr:uid="{00000000-0004-0000-1000-000015000000}"/>
    <hyperlink ref="P205" location="'Machinery Costs'!A1" display="Return to top" xr:uid="{00000000-0004-0000-1000-000016000000}"/>
    <hyperlink ref="P204" location="B4_TL" display="Return to budget" xr:uid="{00000000-0004-0000-1000-000017000000}"/>
    <hyperlink ref="P233" location="'Machinery Costs'!A1" display="Return to top" xr:uid="{00000000-0004-0000-1000-000018000000}"/>
    <hyperlink ref="P232" location="B4_TL" display="Return to budget" xr:uid="{00000000-0004-0000-1000-000019000000}"/>
    <hyperlink ref="P261" location="'Machinery Costs'!A1" display="Return to top" xr:uid="{00000000-0004-0000-1000-00001A000000}"/>
    <hyperlink ref="P260" location="B5_TL" display="Return to budget" xr:uid="{00000000-0004-0000-1000-00001B000000}"/>
    <hyperlink ref="P289" location="'Machinery Costs'!A1" display="Return to top" xr:uid="{00000000-0004-0000-1000-00001C000000}"/>
    <hyperlink ref="P288" location="B5_TL" display="Return to budget" xr:uid="{00000000-0004-0000-1000-00001D000000}"/>
    <hyperlink ref="P317" location="'Machinery Costs'!A1" display="Return to top" xr:uid="{00000000-0004-0000-1000-00001E000000}"/>
    <hyperlink ref="P316" location="B6_TL" display="Return to budget" xr:uid="{00000000-0004-0000-1000-00001F000000}"/>
    <hyperlink ref="P345" location="'Machinery Costs'!A1" display="Return to top" xr:uid="{00000000-0004-0000-1000-000020000000}"/>
    <hyperlink ref="P344" location="B7_TL" display="Return to budget" xr:uid="{00000000-0004-0000-1000-000021000000}"/>
    <hyperlink ref="P373" location="'Machinery Costs'!A1" display="Return to top" xr:uid="{00000000-0004-0000-1000-000022000000}"/>
    <hyperlink ref="P372" location="B8_TL" display="Return to budget" xr:uid="{00000000-0004-0000-1000-000023000000}"/>
  </hyperlinks>
  <pageMargins left="1" right="1" top="1" bottom="1" header="0.5" footer="0.5"/>
  <pageSetup scale="53" fitToWidth="0" fitToHeight="7" orientation="landscape" r:id="rId1"/>
  <rowBreaks count="6" manualBreakCount="6">
    <brk id="39" max="16383" man="1"/>
    <brk id="55" max="16383" man="1"/>
    <brk id="115" max="16383" man="1"/>
    <brk id="171" max="16383" man="1"/>
    <brk id="285" max="16383" man="1"/>
    <brk id="341" max="16383" man="1"/>
  </rowBreaks>
  <ignoredErrors>
    <ignoredError sqref="G69 G76"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A36"/>
  <sheetViews>
    <sheetView zoomScale="90" zoomScaleNormal="90" zoomScaleSheetLayoutView="100" workbookViewId="0"/>
  </sheetViews>
  <sheetFormatPr defaultColWidth="9.140625" defaultRowHeight="12.75" x14ac:dyDescent="0.2"/>
  <cols>
    <col min="1" max="1" width="9.140625" style="532" customWidth="1"/>
    <col min="2" max="2" width="10.7109375" style="532" customWidth="1"/>
    <col min="3" max="10" width="9.140625" style="532"/>
    <col min="11" max="11" width="10.140625" style="532" customWidth="1"/>
    <col min="12" max="16384" width="9.140625" style="532"/>
  </cols>
  <sheetData>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sheetData>
  <pageMargins left="0.7" right="0.7" top="0.75" bottom="0.75" header="0.3" footer="0.3"/>
  <pageSetup scale="89" orientation="portrait" r:id="rId1"/>
  <rowBreaks count="3" manualBreakCount="3">
    <brk id="59" max="16383" man="1"/>
    <brk id="119" max="16383" man="1"/>
    <brk id="1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00080"/>
    <pageSetUpPr autoPageBreaks="0" fitToPage="1"/>
  </sheetPr>
  <dimension ref="A1:AO486"/>
  <sheetViews>
    <sheetView topLeftCell="A7" zoomScale="90" zoomScaleNormal="90" zoomScaleSheetLayoutView="100" workbookViewId="0">
      <selection activeCell="E38" sqref="E38"/>
    </sheetView>
  </sheetViews>
  <sheetFormatPr defaultColWidth="18.7109375" defaultRowHeight="12.95" customHeight="1" x14ac:dyDescent="0.2"/>
  <cols>
    <col min="1" max="1" width="4.7109375" style="55" customWidth="1"/>
    <col min="2" max="2" width="13.42578125" style="55" customWidth="1"/>
    <col min="3" max="3" width="33.140625" style="38" customWidth="1"/>
    <col min="4" max="4" width="9.5703125" style="401" customWidth="1"/>
    <col min="5" max="5" width="9.7109375" style="402" customWidth="1"/>
    <col min="6" max="6" width="8.85546875" style="403" customWidth="1"/>
    <col min="7" max="7" width="2.28515625" style="403" customWidth="1"/>
    <col min="8" max="8" width="9.5703125" style="402" customWidth="1"/>
    <col min="9" max="9" width="12.28515625" style="38" customWidth="1"/>
    <col min="10" max="10" width="11.5703125" style="38" bestFit="1" customWidth="1"/>
    <col min="11" max="11" width="16" style="38" bestFit="1" customWidth="1"/>
    <col min="12" max="12" width="12.28515625" customWidth="1"/>
    <col min="13" max="13" width="8.85546875" style="404" bestFit="1" customWidth="1"/>
    <col min="14" max="14" width="13.85546875" style="38" customWidth="1"/>
    <col min="15" max="15" width="11" style="38" customWidth="1"/>
    <col min="16" max="16" width="11" style="55" customWidth="1"/>
    <col min="17" max="17" width="15.5703125" style="89" customWidth="1"/>
    <col min="18" max="16384" width="18.7109375" style="38"/>
  </cols>
  <sheetData>
    <row r="1" spans="2:41" s="55" customFormat="1" ht="12.75" x14ac:dyDescent="0.2">
      <c r="D1" s="301"/>
      <c r="E1" s="302"/>
      <c r="F1" s="303"/>
      <c r="G1" s="303"/>
      <c r="H1" s="302"/>
      <c r="L1"/>
      <c r="M1" s="304"/>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row>
    <row r="2" spans="2:41" s="55" customFormat="1" ht="12.75" x14ac:dyDescent="0.2">
      <c r="B2" s="241" t="s">
        <v>211</v>
      </c>
      <c r="C2" s="297"/>
      <c r="D2" s="298"/>
      <c r="E2" s="297"/>
      <c r="F2" s="299"/>
      <c r="G2" s="297"/>
      <c r="H2" s="298"/>
      <c r="I2" s="297"/>
      <c r="J2" s="300"/>
      <c r="K2" s="305"/>
      <c r="L2" s="532"/>
      <c r="M2" s="305"/>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row>
    <row r="3" spans="2:41" s="55" customFormat="1" ht="12.75" x14ac:dyDescent="0.2">
      <c r="B3" s="118" t="s">
        <v>200</v>
      </c>
      <c r="K3" s="306"/>
      <c r="L3" s="532"/>
      <c r="M3" s="306"/>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row>
    <row r="4" spans="2:41" s="55" customFormat="1" ht="12.75" x14ac:dyDescent="0.2">
      <c r="B4" s="661" t="s">
        <v>212</v>
      </c>
      <c r="C4" s="661"/>
      <c r="D4" s="661"/>
      <c r="E4" s="661"/>
      <c r="F4" s="661"/>
      <c r="G4" s="661"/>
      <c r="H4" s="661"/>
      <c r="I4" s="661"/>
      <c r="J4" s="661"/>
      <c r="K4" s="119"/>
      <c r="L4" s="532"/>
      <c r="M4" s="119"/>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row>
    <row r="5" spans="2:41" s="55" customFormat="1" ht="12.75" x14ac:dyDescent="0.2">
      <c r="B5" s="120" t="s">
        <v>213</v>
      </c>
      <c r="C5" s="120"/>
      <c r="D5" s="120"/>
      <c r="E5" s="120"/>
      <c r="F5" s="120"/>
      <c r="G5" s="120"/>
      <c r="H5" s="120"/>
      <c r="I5" s="120"/>
      <c r="J5" s="120"/>
      <c r="K5" s="307"/>
      <c r="L5" s="532"/>
      <c r="M5" s="307"/>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row>
    <row r="6" spans="2:41" s="55" customFormat="1" ht="12.75" x14ac:dyDescent="0.2">
      <c r="B6" s="662" t="s">
        <v>240</v>
      </c>
      <c r="C6" s="662"/>
      <c r="D6" s="662"/>
      <c r="E6" s="662"/>
      <c r="F6" s="662"/>
      <c r="G6" s="662"/>
      <c r="H6" s="662"/>
      <c r="I6" s="662"/>
      <c r="J6" s="662"/>
      <c r="K6" s="308"/>
      <c r="L6" s="532"/>
      <c r="M6" s="308"/>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row>
    <row r="7" spans="2:41" s="55" customFormat="1" ht="12.75" x14ac:dyDescent="0.2">
      <c r="B7" s="309"/>
      <c r="F7" s="301"/>
      <c r="G7" s="301"/>
      <c r="L7" s="532"/>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row>
    <row r="8" spans="2:41" s="55" customFormat="1" ht="12.75" x14ac:dyDescent="0.2">
      <c r="B8" s="309"/>
      <c r="F8" s="301"/>
      <c r="G8" s="301"/>
      <c r="L8" s="532"/>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row>
    <row r="9" spans="2:41" s="192" customFormat="1" ht="15.75" x14ac:dyDescent="0.2">
      <c r="B9" s="428" t="s">
        <v>278</v>
      </c>
      <c r="D9" s="311"/>
      <c r="E9" s="311"/>
      <c r="F9" s="311"/>
      <c r="G9" s="311"/>
      <c r="H9" s="311"/>
      <c r="I9" s="311"/>
      <c r="J9" s="311"/>
      <c r="K9" s="311"/>
      <c r="L9" s="532"/>
      <c r="M9" s="311"/>
      <c r="N9" s="311"/>
      <c r="O9" s="311"/>
      <c r="P9" s="311"/>
    </row>
    <row r="10" spans="2:41" s="192" customFormat="1" ht="9" customHeight="1" x14ac:dyDescent="0.2">
      <c r="B10" s="310"/>
      <c r="D10" s="311"/>
      <c r="E10" s="311"/>
      <c r="F10" s="311"/>
      <c r="G10" s="311"/>
      <c r="H10" s="311"/>
      <c r="I10" s="311"/>
      <c r="J10" s="311"/>
      <c r="K10" s="311"/>
      <c r="L10" s="532"/>
      <c r="M10" s="311"/>
      <c r="N10" s="311"/>
      <c r="O10" s="311"/>
      <c r="P10" s="311"/>
    </row>
    <row r="11" spans="2:41" s="192" customFormat="1" ht="12.75" x14ac:dyDescent="0.2">
      <c r="B11" s="311" t="s">
        <v>238</v>
      </c>
      <c r="D11" s="311"/>
      <c r="E11" s="311"/>
      <c r="F11" s="311"/>
      <c r="G11" s="311"/>
      <c r="H11" s="311"/>
      <c r="I11" s="311"/>
      <c r="J11" s="311"/>
      <c r="K11" s="311"/>
      <c r="L11" s="532"/>
      <c r="M11" s="311"/>
      <c r="N11" s="311"/>
      <c r="O11" s="311"/>
      <c r="P11" s="311"/>
    </row>
    <row r="12" spans="2:41" s="192" customFormat="1" ht="7.5" customHeight="1" x14ac:dyDescent="0.2">
      <c r="B12" s="312"/>
      <c r="C12" s="313"/>
      <c r="D12" s="314"/>
      <c r="E12" s="314"/>
      <c r="F12" s="314"/>
      <c r="G12" s="314"/>
      <c r="H12" s="314"/>
      <c r="I12" s="314"/>
      <c r="J12" s="314"/>
      <c r="K12" s="314"/>
      <c r="L12" s="314"/>
      <c r="M12" s="314"/>
      <c r="N12" s="314"/>
      <c r="O12" s="314"/>
      <c r="P12" s="314"/>
    </row>
    <row r="13" spans="2:41" ht="12.75" x14ac:dyDescent="0.2">
      <c r="B13" s="315"/>
      <c r="C13" s="315"/>
      <c r="D13" s="61"/>
      <c r="E13" s="316"/>
      <c r="F13" s="317"/>
      <c r="G13" s="317"/>
      <c r="H13" s="316"/>
      <c r="I13" s="318"/>
      <c r="J13" s="53"/>
      <c r="K13" s="319"/>
      <c r="L13" s="320"/>
      <c r="M13" s="320"/>
      <c r="N13" s="318" t="s">
        <v>36</v>
      </c>
      <c r="O13" s="663" t="s">
        <v>552</v>
      </c>
      <c r="P13" s="66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row>
    <row r="14" spans="2:41" ht="12.75" x14ac:dyDescent="0.2">
      <c r="B14" s="40"/>
      <c r="C14" s="40"/>
      <c r="D14" s="53"/>
      <c r="E14" s="316"/>
      <c r="F14" s="317"/>
      <c r="G14" s="317"/>
      <c r="H14" s="321" t="s">
        <v>77</v>
      </c>
      <c r="I14" s="318" t="s">
        <v>79</v>
      </c>
      <c r="J14" s="53" t="s">
        <v>201</v>
      </c>
      <c r="K14" s="322" t="s">
        <v>203</v>
      </c>
      <c r="L14" s="323" t="s">
        <v>75</v>
      </c>
      <c r="M14" s="323" t="s">
        <v>73</v>
      </c>
      <c r="N14" s="318" t="s">
        <v>111</v>
      </c>
      <c r="O14" s="664"/>
      <c r="P14" s="664"/>
      <c r="Q14" s="533"/>
      <c r="R14" s="533"/>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row>
    <row r="15" spans="2:41" ht="12.75" x14ac:dyDescent="0.2">
      <c r="B15" s="215"/>
      <c r="C15" s="215"/>
      <c r="D15" s="194"/>
      <c r="E15" s="321" t="s">
        <v>76</v>
      </c>
      <c r="F15" s="324" t="s">
        <v>50</v>
      </c>
      <c r="G15" s="324"/>
      <c r="H15" s="325" t="s">
        <v>81</v>
      </c>
      <c r="I15" s="318" t="s">
        <v>2</v>
      </c>
      <c r="J15" s="194" t="s">
        <v>202</v>
      </c>
      <c r="K15" s="322" t="s">
        <v>204</v>
      </c>
      <c r="L15" s="326" t="s">
        <v>80</v>
      </c>
      <c r="M15" s="326" t="s">
        <v>78</v>
      </c>
      <c r="N15" s="318" t="s">
        <v>43</v>
      </c>
      <c r="O15" s="194" t="s">
        <v>544</v>
      </c>
      <c r="P15" s="194" t="s">
        <v>545</v>
      </c>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row>
    <row r="16" spans="2:41" ht="12.75" x14ac:dyDescent="0.2">
      <c r="B16" s="327" t="s">
        <v>534</v>
      </c>
      <c r="C16" s="51" t="s">
        <v>298</v>
      </c>
      <c r="D16" s="51" t="s">
        <v>42</v>
      </c>
      <c r="E16" s="328" t="s">
        <v>81</v>
      </c>
      <c r="F16" s="328" t="s">
        <v>82</v>
      </c>
      <c r="G16" s="328"/>
      <c r="H16" s="328" t="s">
        <v>83</v>
      </c>
      <c r="I16" s="329" t="s">
        <v>83</v>
      </c>
      <c r="J16" s="330" t="s">
        <v>83</v>
      </c>
      <c r="K16" s="331" t="s">
        <v>83</v>
      </c>
      <c r="L16" s="330" t="s">
        <v>83</v>
      </c>
      <c r="M16" s="330" t="s">
        <v>83</v>
      </c>
      <c r="N16" s="329" t="s">
        <v>83</v>
      </c>
      <c r="O16" s="330" t="s">
        <v>111</v>
      </c>
      <c r="P16" s="330" t="s">
        <v>111</v>
      </c>
      <c r="Q16" s="533"/>
      <c r="R16" s="533"/>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row>
    <row r="17" spans="1:41" ht="21" customHeight="1" x14ac:dyDescent="0.2">
      <c r="B17" s="626"/>
      <c r="C17" s="479" t="s">
        <v>404</v>
      </c>
      <c r="D17" s="355"/>
      <c r="E17" s="567"/>
      <c r="F17" s="352"/>
      <c r="G17" s="332"/>
      <c r="H17" s="352"/>
      <c r="I17" s="353"/>
      <c r="J17" s="352"/>
      <c r="K17" s="354"/>
      <c r="L17" s="352"/>
      <c r="M17" s="352"/>
      <c r="N17" s="353"/>
      <c r="O17" s="352"/>
      <c r="P17" s="352"/>
      <c r="Q17" s="533"/>
      <c r="R17" s="533"/>
      <c r="S17" s="533"/>
      <c r="T17" s="533"/>
      <c r="U17" s="533"/>
      <c r="V17" s="533"/>
      <c r="W17" s="533"/>
      <c r="X17" s="533"/>
      <c r="Y17" s="533"/>
      <c r="Z17" s="533"/>
      <c r="AA17" s="533"/>
      <c r="AB17" s="533"/>
      <c r="AC17" s="533"/>
      <c r="AD17" s="533"/>
      <c r="AE17" s="533"/>
      <c r="AF17" s="533"/>
      <c r="AG17" s="533"/>
      <c r="AH17" s="533"/>
      <c r="AI17" s="533"/>
      <c r="AJ17" s="533"/>
      <c r="AK17" s="533"/>
      <c r="AL17" s="533"/>
      <c r="AM17" s="533"/>
      <c r="AN17" s="533"/>
      <c r="AO17" s="533"/>
    </row>
    <row r="18" spans="1:41" s="338" customFormat="1" ht="6.75" customHeight="1" x14ac:dyDescent="0.2">
      <c r="A18" s="297"/>
      <c r="B18" s="568"/>
      <c r="C18" s="344"/>
      <c r="D18" s="341"/>
      <c r="E18" s="342"/>
      <c r="F18" s="332"/>
      <c r="G18" s="332"/>
      <c r="H18" s="333"/>
      <c r="I18" s="334"/>
      <c r="J18" s="333"/>
      <c r="K18" s="335"/>
      <c r="L18" s="336"/>
      <c r="M18" s="336"/>
      <c r="N18" s="334"/>
      <c r="O18" s="333"/>
      <c r="P18" s="337"/>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row>
    <row r="19" spans="1:41" ht="12.75" x14ac:dyDescent="0.2">
      <c r="B19" s="628">
        <v>1</v>
      </c>
      <c r="C19" s="569" t="s">
        <v>242</v>
      </c>
      <c r="D19" s="345" t="s">
        <v>91</v>
      </c>
      <c r="E19" s="356">
        <v>78</v>
      </c>
      <c r="F19" s="347">
        <v>6.42</v>
      </c>
      <c r="G19" s="332"/>
      <c r="H19" s="348">
        <f>+F19*E19</f>
        <v>500.76</v>
      </c>
      <c r="I19" s="349">
        <f>'1. SWWW (canola rotation)'!V70</f>
        <v>161.3454636875</v>
      </c>
      <c r="J19" s="348">
        <f>'1. SWWW (canola rotation)'!V88</f>
        <v>311.43582680937504</v>
      </c>
      <c r="K19" s="350">
        <f>'1. SWWW (canola rotation)'!V90</f>
        <v>472.78129049687504</v>
      </c>
      <c r="L19" s="351">
        <f>+H19-I19</f>
        <v>339.41453631249999</v>
      </c>
      <c r="M19" s="351">
        <f>+H19-K19</f>
        <v>27.978709503124946</v>
      </c>
      <c r="N19" s="349">
        <f>'1. SWWW (canola rotation)'!V79</f>
        <v>112</v>
      </c>
      <c r="O19" s="633">
        <f>'1. SWWW (canola rotation)'!P81</f>
        <v>0.33300000000000002</v>
      </c>
      <c r="P19" s="633">
        <f>'1. SWWW (canola rotation)'!P82</f>
        <v>0.66600000000000004</v>
      </c>
      <c r="Q19" s="533"/>
      <c r="R19" s="533"/>
      <c r="S19" s="533"/>
      <c r="T19" s="533"/>
      <c r="U19" s="533"/>
      <c r="V19" s="533"/>
      <c r="W19" s="533"/>
      <c r="X19" s="533"/>
      <c r="Y19" s="533"/>
      <c r="Z19" s="533"/>
      <c r="AA19" s="533"/>
      <c r="AB19" s="533"/>
      <c r="AC19" s="533"/>
      <c r="AD19" s="533"/>
      <c r="AE19" s="533"/>
      <c r="AF19" s="533"/>
      <c r="AG19" s="533"/>
      <c r="AH19" s="533"/>
      <c r="AI19" s="533"/>
      <c r="AJ19" s="533"/>
      <c r="AK19" s="533"/>
      <c r="AL19" s="533"/>
      <c r="AM19" s="533"/>
      <c r="AN19" s="533"/>
      <c r="AO19" s="533"/>
    </row>
    <row r="20" spans="1:41" ht="10.5" customHeight="1" x14ac:dyDescent="0.2">
      <c r="B20" s="343"/>
      <c r="C20" s="583" t="s">
        <v>477</v>
      </c>
      <c r="D20" s="584"/>
      <c r="E20" s="585"/>
      <c r="F20" s="586"/>
      <c r="G20" s="586"/>
      <c r="H20" s="587">
        <v>0</v>
      </c>
      <c r="I20" s="588">
        <f>'1. SWWW (canola rotation)'!K70</f>
        <v>109.35496625</v>
      </c>
      <c r="J20" s="587">
        <f>'1. SWWW (canola rotation)'!K88</f>
        <v>26.66</v>
      </c>
      <c r="K20" s="589">
        <f>'1. SWWW (canola rotation)'!K90</f>
        <v>136.01496625000001</v>
      </c>
      <c r="L20" s="587">
        <f>+H20-I20</f>
        <v>-109.35496625</v>
      </c>
      <c r="M20" s="587">
        <f>+H20-K20</f>
        <v>-136.01496625000001</v>
      </c>
      <c r="N20" s="349"/>
      <c r="O20" s="348"/>
      <c r="P20" s="348"/>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row>
    <row r="21" spans="1:41" ht="10.5" customHeight="1" x14ac:dyDescent="0.2">
      <c r="B21" s="343"/>
      <c r="C21" s="569"/>
      <c r="D21" s="345"/>
      <c r="E21" s="342"/>
      <c r="F21" s="332"/>
      <c r="G21" s="332"/>
      <c r="H21" s="348"/>
      <c r="I21" s="349"/>
      <c r="J21" s="348"/>
      <c r="K21" s="350"/>
      <c r="L21" s="351"/>
      <c r="M21" s="351"/>
      <c r="N21" s="349"/>
      <c r="O21" s="348"/>
      <c r="P21" s="348"/>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33"/>
      <c r="AO21" s="533"/>
    </row>
    <row r="22" spans="1:41" ht="12.75" x14ac:dyDescent="0.2">
      <c r="B22" s="628">
        <v>2</v>
      </c>
      <c r="C22" s="569" t="s">
        <v>243</v>
      </c>
      <c r="D22" s="345" t="s">
        <v>91</v>
      </c>
      <c r="E22" s="346">
        <v>73</v>
      </c>
      <c r="F22" s="347">
        <v>7.65</v>
      </c>
      <c r="G22" s="332"/>
      <c r="H22" s="348">
        <f>+F22*E22</f>
        <v>558.45000000000005</v>
      </c>
      <c r="I22" s="349">
        <f>'2. HRWW (canola rotation)'!V70</f>
        <v>159.11839181249999</v>
      </c>
      <c r="J22" s="348">
        <f>'2. HRWW (canola rotation)'!V88</f>
        <v>338.83765926250004</v>
      </c>
      <c r="K22" s="350">
        <f>'2. HRWW (canola rotation)'!V90</f>
        <v>497.956051075</v>
      </c>
      <c r="L22" s="351">
        <f>+H22-I22</f>
        <v>399.33160818750002</v>
      </c>
      <c r="M22" s="351">
        <f>+H22-K22</f>
        <v>60.493948925000041</v>
      </c>
      <c r="N22" s="349">
        <f>'2. HRWW (canola rotation)'!V79</f>
        <v>129</v>
      </c>
      <c r="O22" s="633">
        <f>'2. HRWW (canola rotation)'!P81</f>
        <v>0.33300000000000002</v>
      </c>
      <c r="P22" s="633">
        <f>'2. HRWW (canola rotation)'!P82</f>
        <v>0.66600000000000004</v>
      </c>
      <c r="Q22" s="533"/>
      <c r="R22" s="533"/>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row>
    <row r="23" spans="1:41" ht="10.5" customHeight="1" x14ac:dyDescent="0.2">
      <c r="B23" s="343"/>
      <c r="C23" s="583" t="s">
        <v>477</v>
      </c>
      <c r="D23" s="584"/>
      <c r="E23" s="585"/>
      <c r="F23" s="586"/>
      <c r="G23" s="586"/>
      <c r="H23" s="587">
        <v>0</v>
      </c>
      <c r="I23" s="588">
        <f>'2. HRWW (canola rotation)'!K70</f>
        <v>116.35433500000001</v>
      </c>
      <c r="J23" s="587">
        <f>'2. HRWW (canola rotation)'!K88</f>
        <v>26.66</v>
      </c>
      <c r="K23" s="589">
        <f>'2. HRWW (canola rotation)'!K90</f>
        <v>143.01433500000002</v>
      </c>
      <c r="L23" s="587">
        <f>+H23-I23</f>
        <v>-116.35433500000001</v>
      </c>
      <c r="M23" s="587">
        <f>+H23-K23</f>
        <v>-143.01433500000002</v>
      </c>
      <c r="N23" s="349"/>
      <c r="O23" s="348"/>
      <c r="P23" s="348"/>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row>
    <row r="24" spans="1:41" ht="10.5" customHeight="1" x14ac:dyDescent="0.2">
      <c r="B24" s="343"/>
      <c r="C24" s="569"/>
      <c r="D24" s="345"/>
      <c r="E24" s="342"/>
      <c r="F24" s="332"/>
      <c r="G24" s="332"/>
      <c r="H24" s="348"/>
      <c r="I24" s="349"/>
      <c r="J24" s="348"/>
      <c r="K24" s="350"/>
      <c r="L24" s="351"/>
      <c r="M24" s="351"/>
      <c r="N24" s="349"/>
      <c r="O24" s="348"/>
      <c r="P24" s="348"/>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row>
    <row r="25" spans="1:41" s="338" customFormat="1" ht="12.75" x14ac:dyDescent="0.2">
      <c r="A25" s="297"/>
      <c r="B25" s="628">
        <v>3</v>
      </c>
      <c r="C25" s="569" t="s">
        <v>282</v>
      </c>
      <c r="D25" s="345" t="s">
        <v>62</v>
      </c>
      <c r="E25" s="346">
        <v>1500</v>
      </c>
      <c r="F25" s="347">
        <v>0.22</v>
      </c>
      <c r="G25" s="332"/>
      <c r="H25" s="348">
        <f>+F25*E25</f>
        <v>330</v>
      </c>
      <c r="I25" s="349">
        <f>'3. SC (canola rotation)'!K69</f>
        <v>198.01007465340911</v>
      </c>
      <c r="J25" s="348">
        <f>'3. SC (canola rotation)'!K87</f>
        <v>122.15</v>
      </c>
      <c r="K25" s="350">
        <f>'3. SC (canola rotation)'!K89</f>
        <v>320.16007465340908</v>
      </c>
      <c r="L25" s="351">
        <f>+H25-I25</f>
        <v>131.98992534659089</v>
      </c>
      <c r="M25" s="351">
        <f>+H25-K25</f>
        <v>9.8399253465909169</v>
      </c>
      <c r="N25" s="349">
        <f>'3. SC (canola rotation)'!K78</f>
        <v>70</v>
      </c>
      <c r="O25" s="633">
        <f>'3. SC (canola rotation)'!E80</f>
        <v>0.33300000000000002</v>
      </c>
      <c r="P25" s="633">
        <f>'3. SC (canola rotation)'!E81</f>
        <v>0.66600000000000004</v>
      </c>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row>
    <row r="26" spans="1:41" s="338" customFormat="1" ht="30" customHeight="1" x14ac:dyDescent="0.2">
      <c r="A26" s="297"/>
      <c r="B26" s="627"/>
      <c r="C26" s="481" t="s">
        <v>405</v>
      </c>
      <c r="D26" s="482"/>
      <c r="E26" s="342"/>
      <c r="F26" s="332"/>
      <c r="G26" s="332"/>
      <c r="H26" s="333"/>
      <c r="I26" s="334"/>
      <c r="J26" s="333"/>
      <c r="K26" s="335"/>
      <c r="L26" s="336"/>
      <c r="M26" s="336"/>
      <c r="N26" s="334"/>
      <c r="O26" s="333"/>
      <c r="P26" s="333"/>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row>
    <row r="27" spans="1:41" s="338" customFormat="1" ht="6.75" customHeight="1" x14ac:dyDescent="0.2">
      <c r="A27" s="297"/>
      <c r="B27" s="339"/>
      <c r="C27" s="340"/>
      <c r="D27" s="341"/>
      <c r="E27" s="342"/>
      <c r="F27" s="332"/>
      <c r="G27" s="332"/>
      <c r="H27" s="333"/>
      <c r="I27" s="334"/>
      <c r="J27" s="333"/>
      <c r="K27" s="335"/>
      <c r="L27" s="336"/>
      <c r="M27" s="336"/>
      <c r="N27" s="334"/>
      <c r="O27" s="333"/>
      <c r="P27" s="333"/>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row>
    <row r="28" spans="1:41" ht="12.75" x14ac:dyDescent="0.2">
      <c r="B28" s="628">
        <v>4</v>
      </c>
      <c r="C28" s="569" t="s">
        <v>242</v>
      </c>
      <c r="D28" s="345" t="s">
        <v>91</v>
      </c>
      <c r="E28" s="346">
        <v>78</v>
      </c>
      <c r="F28" s="347">
        <v>6.42</v>
      </c>
      <c r="G28" s="332"/>
      <c r="H28" s="348">
        <f>+F28*E28</f>
        <v>500.76</v>
      </c>
      <c r="I28" s="349">
        <f>'4. SWWW (wheat rotation)'!V70</f>
        <v>161.3454636875</v>
      </c>
      <c r="J28" s="348">
        <f>'4. SWWW (wheat rotation)'!V88</f>
        <v>311.43582680937504</v>
      </c>
      <c r="K28" s="350">
        <f>'4. SWWW (wheat rotation)'!V90</f>
        <v>472.78129049687504</v>
      </c>
      <c r="L28" s="351">
        <f>+H28-I28</f>
        <v>339.41453631249999</v>
      </c>
      <c r="M28" s="351">
        <f>+H28-K28</f>
        <v>27.978709503124946</v>
      </c>
      <c r="N28" s="349">
        <f>'4. SWWW (wheat rotation)'!V79</f>
        <v>112</v>
      </c>
      <c r="O28" s="633">
        <f>'4. SWWW (wheat rotation)'!P81</f>
        <v>0.33300000000000002</v>
      </c>
      <c r="P28" s="633">
        <f>'4. SWWW (wheat rotation)'!P82</f>
        <v>0.66600000000000004</v>
      </c>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row>
    <row r="29" spans="1:41" ht="10.5" customHeight="1" x14ac:dyDescent="0.2">
      <c r="B29" s="343"/>
      <c r="C29" s="583" t="s">
        <v>477</v>
      </c>
      <c r="D29" s="584"/>
      <c r="E29" s="585"/>
      <c r="F29" s="586"/>
      <c r="G29" s="586"/>
      <c r="H29" s="587">
        <v>0</v>
      </c>
      <c r="I29" s="588">
        <f>'4. SWWW (wheat rotation)'!K70</f>
        <v>109.35496625</v>
      </c>
      <c r="J29" s="587">
        <f>'4. SWWW (wheat rotation)'!K88</f>
        <v>26.66</v>
      </c>
      <c r="K29" s="589">
        <f>'4. SWWW (wheat rotation)'!K90</f>
        <v>136.01496625000001</v>
      </c>
      <c r="L29" s="587">
        <f>+H29-I29</f>
        <v>-109.35496625</v>
      </c>
      <c r="M29" s="587">
        <f>+H29-K29</f>
        <v>-136.01496625000001</v>
      </c>
      <c r="N29" s="349"/>
      <c r="O29" s="348"/>
      <c r="P29" s="348"/>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row>
    <row r="30" spans="1:41" ht="10.5" customHeight="1" x14ac:dyDescent="0.2">
      <c r="B30" s="343"/>
      <c r="C30" s="569"/>
      <c r="D30" s="345"/>
      <c r="E30" s="342"/>
      <c r="F30" s="332"/>
      <c r="G30" s="332"/>
      <c r="H30" s="348"/>
      <c r="I30" s="349"/>
      <c r="J30" s="348"/>
      <c r="K30" s="350"/>
      <c r="L30" s="351"/>
      <c r="M30" s="351"/>
      <c r="N30" s="349"/>
      <c r="O30" s="348"/>
      <c r="P30" s="348"/>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row>
    <row r="31" spans="1:41" ht="12.75" x14ac:dyDescent="0.2">
      <c r="B31" s="628">
        <v>5</v>
      </c>
      <c r="C31" s="569" t="s">
        <v>243</v>
      </c>
      <c r="D31" s="345" t="s">
        <v>91</v>
      </c>
      <c r="E31" s="346">
        <v>73</v>
      </c>
      <c r="F31" s="347">
        <v>7.65</v>
      </c>
      <c r="G31" s="332"/>
      <c r="H31" s="348">
        <f>+F31*E31</f>
        <v>558.45000000000005</v>
      </c>
      <c r="I31" s="349">
        <f>'5. HRWW (wheat rotation)'!V70</f>
        <v>164.12539181249997</v>
      </c>
      <c r="J31" s="348">
        <f>'5. HRWW (wheat rotation)'!V88</f>
        <v>338.83765926250004</v>
      </c>
      <c r="K31" s="350">
        <f>'5. HRWW (wheat rotation)'!V90</f>
        <v>502.96305107500001</v>
      </c>
      <c r="L31" s="351">
        <f>+H31-I31</f>
        <v>394.32460818750008</v>
      </c>
      <c r="M31" s="351">
        <f>+H31-K31</f>
        <v>55.486948925000036</v>
      </c>
      <c r="N31" s="349">
        <f>'5. HRWW (wheat rotation)'!V79</f>
        <v>129</v>
      </c>
      <c r="O31" s="633">
        <f>'5. HRWW (wheat rotation)'!P81</f>
        <v>0.33300000000000002</v>
      </c>
      <c r="P31" s="633">
        <f>'5. HRWW (wheat rotation)'!P82</f>
        <v>0.66600000000000004</v>
      </c>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row>
    <row r="32" spans="1:41" ht="12.75" x14ac:dyDescent="0.2">
      <c r="B32" s="343"/>
      <c r="C32" s="583" t="s">
        <v>477</v>
      </c>
      <c r="D32" s="584"/>
      <c r="E32" s="585"/>
      <c r="F32" s="586"/>
      <c r="G32" s="586"/>
      <c r="H32" s="587">
        <v>0</v>
      </c>
      <c r="I32" s="588">
        <f>'5. HRWW (wheat rotation)'!K70</f>
        <v>116.35433500000001</v>
      </c>
      <c r="J32" s="587">
        <f>'5. HRWW (wheat rotation)'!K88</f>
        <v>26.66</v>
      </c>
      <c r="K32" s="589">
        <f>'5. HRWW (wheat rotation)'!K90</f>
        <v>143.01433500000002</v>
      </c>
      <c r="L32" s="587">
        <f>+H32-I32</f>
        <v>-116.35433500000001</v>
      </c>
      <c r="M32" s="587">
        <f>+H32-K32</f>
        <v>-143.01433500000002</v>
      </c>
      <c r="N32" s="353"/>
      <c r="O32" s="352"/>
      <c r="P32" s="352"/>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row>
    <row r="33" spans="1:41" ht="12.75" x14ac:dyDescent="0.2">
      <c r="B33" s="343"/>
      <c r="C33" s="569"/>
      <c r="D33" s="352"/>
      <c r="E33" s="352"/>
      <c r="F33" s="352"/>
      <c r="G33" s="332"/>
      <c r="H33" s="352"/>
      <c r="I33" s="353"/>
      <c r="J33" s="352"/>
      <c r="K33" s="354"/>
      <c r="L33" s="352"/>
      <c r="M33" s="352"/>
      <c r="N33" s="353"/>
      <c r="O33" s="352"/>
      <c r="P33" s="352"/>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row>
    <row r="34" spans="1:41" ht="12.75" x14ac:dyDescent="0.2">
      <c r="B34" s="628">
        <v>6</v>
      </c>
      <c r="C34" s="569" t="s">
        <v>280</v>
      </c>
      <c r="D34" s="345" t="s">
        <v>91</v>
      </c>
      <c r="E34" s="346">
        <v>50</v>
      </c>
      <c r="F34" s="347">
        <f>6.42</f>
        <v>6.42</v>
      </c>
      <c r="G34" s="332"/>
      <c r="H34" s="348">
        <f>+F34*E34</f>
        <v>321</v>
      </c>
      <c r="I34" s="349">
        <f>'6. SWSW (wheat rotation)'!K69</f>
        <v>177.10395306249998</v>
      </c>
      <c r="J34" s="348">
        <f>'6. SWSW (wheat rotation)'!K87</f>
        <v>126.91</v>
      </c>
      <c r="K34" s="350">
        <f>'6. SWSW (wheat rotation)'!K89</f>
        <v>304.01395306249998</v>
      </c>
      <c r="L34" s="351">
        <f>+H34-I34</f>
        <v>143.89604693750002</v>
      </c>
      <c r="M34" s="351">
        <f>+H34-K34</f>
        <v>16.986046937500021</v>
      </c>
      <c r="N34" s="349">
        <f>'6. SWSW (wheat rotation)'!K78</f>
        <v>74</v>
      </c>
      <c r="O34" s="633">
        <f>'6. SWSW (wheat rotation)'!E80</f>
        <v>0.33300000000000002</v>
      </c>
      <c r="P34" s="633">
        <f>'6. SWSW (wheat rotation)'!E81</f>
        <v>0.66600000000000004</v>
      </c>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row>
    <row r="35" spans="1:41" ht="12.75" x14ac:dyDescent="0.2">
      <c r="B35" s="343"/>
      <c r="C35" s="569"/>
      <c r="D35" s="352"/>
      <c r="E35" s="342"/>
      <c r="F35" s="332"/>
      <c r="G35" s="332"/>
      <c r="H35" s="348"/>
      <c r="I35" s="349"/>
      <c r="J35" s="348"/>
      <c r="K35" s="350"/>
      <c r="L35" s="351"/>
      <c r="M35" s="351"/>
      <c r="N35" s="349"/>
      <c r="O35" s="348"/>
      <c r="P35" s="348"/>
      <c r="Q35" s="533"/>
      <c r="R35" s="533"/>
      <c r="S35" s="533"/>
      <c r="T35" s="533"/>
      <c r="U35" s="533"/>
      <c r="V35" s="533"/>
      <c r="W35" s="533"/>
      <c r="X35" s="533"/>
      <c r="Y35" s="533"/>
      <c r="Z35" s="533"/>
      <c r="AA35" s="533"/>
      <c r="AB35" s="533"/>
      <c r="AC35" s="533"/>
      <c r="AD35" s="533"/>
      <c r="AE35" s="533"/>
      <c r="AF35" s="533"/>
      <c r="AG35" s="533"/>
      <c r="AH35" s="533"/>
      <c r="AI35" s="533"/>
      <c r="AJ35" s="533"/>
      <c r="AK35" s="533"/>
      <c r="AL35" s="533"/>
      <c r="AM35" s="533"/>
      <c r="AN35" s="533"/>
      <c r="AO35" s="533"/>
    </row>
    <row r="36" spans="1:41" ht="12.75" x14ac:dyDescent="0.2">
      <c r="B36" s="628">
        <v>7</v>
      </c>
      <c r="C36" s="569" t="s">
        <v>297</v>
      </c>
      <c r="D36" s="345" t="s">
        <v>91</v>
      </c>
      <c r="E36" s="346">
        <v>45</v>
      </c>
      <c r="F36" s="347">
        <v>8.8699999999999992</v>
      </c>
      <c r="G36" s="332"/>
      <c r="H36" s="348">
        <f>+F36*E36</f>
        <v>399.15</v>
      </c>
      <c r="I36" s="349">
        <f>'7. DNS (wheat rotation)'!K69</f>
        <v>185.57934368750003</v>
      </c>
      <c r="J36" s="348">
        <f>'7. DNS (wheat rotation)'!K87</f>
        <v>153.91</v>
      </c>
      <c r="K36" s="350">
        <f>'7. DNS (wheat rotation)'!K89</f>
        <v>339.48934368750002</v>
      </c>
      <c r="L36" s="351">
        <f>+H36-I36</f>
        <v>213.57065631249995</v>
      </c>
      <c r="M36" s="351">
        <f>+H36-K36</f>
        <v>59.660656312499952</v>
      </c>
      <c r="N36" s="349">
        <f>'7. DNS (wheat rotation)'!K78</f>
        <v>97</v>
      </c>
      <c r="O36" s="633">
        <f>'7. DNS (wheat rotation)'!E80</f>
        <v>0.33300000000000002</v>
      </c>
      <c r="P36" s="633">
        <f>'7. DNS (wheat rotation)'!E81</f>
        <v>0.66600000000000004</v>
      </c>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row>
    <row r="37" spans="1:41" ht="12.75" x14ac:dyDescent="0.2">
      <c r="B37" s="343"/>
      <c r="C37" s="569"/>
      <c r="D37" s="352"/>
      <c r="E37" s="342"/>
      <c r="F37" s="332"/>
      <c r="G37" s="332"/>
      <c r="H37" s="348"/>
      <c r="I37" s="349"/>
      <c r="J37" s="348"/>
      <c r="K37" s="350"/>
      <c r="L37" s="351"/>
      <c r="M37" s="351"/>
      <c r="N37" s="349"/>
      <c r="O37" s="348"/>
      <c r="P37" s="348"/>
      <c r="Q37" s="533"/>
      <c r="R37" s="533"/>
      <c r="S37" s="533"/>
      <c r="T37" s="533"/>
      <c r="U37" s="533"/>
      <c r="V37" s="533"/>
      <c r="W37" s="533"/>
      <c r="X37" s="533"/>
      <c r="Y37" s="533"/>
      <c r="Z37" s="533"/>
      <c r="AA37" s="533"/>
      <c r="AB37" s="533"/>
      <c r="AC37" s="533"/>
      <c r="AD37" s="533"/>
      <c r="AE37" s="533"/>
      <c r="AF37" s="533"/>
      <c r="AG37" s="533"/>
      <c r="AH37" s="533"/>
      <c r="AI37" s="533"/>
      <c r="AJ37" s="533"/>
      <c r="AK37" s="533"/>
      <c r="AL37" s="533"/>
      <c r="AM37" s="533"/>
      <c r="AN37" s="533"/>
      <c r="AO37" s="533"/>
    </row>
    <row r="38" spans="1:41" ht="12.75" x14ac:dyDescent="0.2">
      <c r="A38" s="508"/>
      <c r="B38" s="628">
        <v>8</v>
      </c>
      <c r="C38" s="569" t="s">
        <v>281</v>
      </c>
      <c r="D38" s="345" t="s">
        <v>299</v>
      </c>
      <c r="E38" s="484">
        <v>1.5</v>
      </c>
      <c r="F38" s="582">
        <v>190</v>
      </c>
      <c r="G38" s="332"/>
      <c r="H38" s="348">
        <f>+F38*E38</f>
        <v>285</v>
      </c>
      <c r="I38" s="349">
        <f>'8. SB (wheat rotation)'!K69</f>
        <v>163.58114134375001</v>
      </c>
      <c r="J38" s="348">
        <f>'8. SB (wheat rotation)'!K87</f>
        <v>115.91</v>
      </c>
      <c r="K38" s="350">
        <f>'8. SB (wheat rotation)'!K89</f>
        <v>279.49114134374997</v>
      </c>
      <c r="L38" s="351">
        <f>+H38-I38</f>
        <v>121.41885865624999</v>
      </c>
      <c r="M38" s="351">
        <f>+H38-K38</f>
        <v>5.5088586562500268</v>
      </c>
      <c r="N38" s="349">
        <f>'8. SB (wheat rotation)'!K78</f>
        <v>65</v>
      </c>
      <c r="O38" s="633">
        <f>'8. SB (wheat rotation)'!E80</f>
        <v>0.33300000000000002</v>
      </c>
      <c r="P38" s="633">
        <f>'8. SB (wheat rotation)'!E81</f>
        <v>0.66600000000000004</v>
      </c>
      <c r="Q38" s="533"/>
      <c r="R38" s="533"/>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row>
    <row r="39" spans="1:41" s="338" customFormat="1" ht="12.75" x14ac:dyDescent="0.2">
      <c r="A39" s="297"/>
      <c r="B39" s="357"/>
      <c r="C39" s="358"/>
      <c r="D39" s="357"/>
      <c r="E39" s="359"/>
      <c r="F39" s="359"/>
      <c r="G39" s="359"/>
      <c r="H39" s="360"/>
      <c r="I39" s="361"/>
      <c r="J39" s="360"/>
      <c r="K39" s="362"/>
      <c r="L39" s="363"/>
      <c r="M39" s="364"/>
      <c r="N39" s="360"/>
      <c r="O39" s="360"/>
      <c r="P39" s="365"/>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row>
    <row r="40" spans="1:41" ht="12.75" x14ac:dyDescent="0.2">
      <c r="B40" s="366" t="s">
        <v>478</v>
      </c>
      <c r="C40" s="55"/>
      <c r="D40" s="55"/>
      <c r="E40" s="55"/>
      <c r="F40" s="55"/>
      <c r="G40" s="55"/>
      <c r="H40" s="55"/>
      <c r="I40" s="89"/>
      <c r="J40" s="89"/>
      <c r="K40" s="55"/>
      <c r="L40" s="533"/>
      <c r="M40" s="89"/>
      <c r="N40" s="89"/>
      <c r="O40" s="533"/>
      <c r="P40" s="89"/>
      <c r="Q40" s="533"/>
      <c r="R40" s="533"/>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row>
    <row r="41" spans="1:41" ht="12.75" x14ac:dyDescent="0.2">
      <c r="C41" s="55"/>
      <c r="D41" s="55"/>
      <c r="E41" s="55"/>
      <c r="F41" s="301"/>
      <c r="G41" s="301"/>
      <c r="H41" s="55"/>
      <c r="I41" s="55"/>
      <c r="J41" s="55"/>
      <c r="K41" s="55"/>
      <c r="L41" s="55"/>
      <c r="M41" s="55"/>
      <c r="N41" s="55"/>
      <c r="O41" s="55"/>
      <c r="Q41" s="533"/>
      <c r="R41" s="533"/>
      <c r="S41" s="533"/>
      <c r="T41" s="533"/>
      <c r="U41" s="533"/>
      <c r="V41" s="533"/>
      <c r="W41" s="533"/>
      <c r="X41" s="533"/>
      <c r="Y41" s="533"/>
      <c r="Z41" s="533"/>
      <c r="AA41" s="533"/>
      <c r="AB41" s="533"/>
      <c r="AC41" s="533"/>
      <c r="AD41" s="533"/>
      <c r="AE41" s="533"/>
      <c r="AF41" s="533"/>
      <c r="AG41" s="533"/>
      <c r="AH41" s="533"/>
      <c r="AI41" s="533"/>
      <c r="AJ41" s="533"/>
      <c r="AK41" s="533"/>
      <c r="AL41" s="533"/>
      <c r="AM41" s="533"/>
      <c r="AN41" s="533"/>
      <c r="AO41" s="533"/>
    </row>
    <row r="42" spans="1:41" ht="12.75" x14ac:dyDescent="0.2">
      <c r="D42" s="55"/>
      <c r="E42" s="55"/>
      <c r="F42" s="301"/>
      <c r="G42" s="301"/>
      <c r="H42" s="55"/>
      <c r="I42" s="55"/>
      <c r="J42" s="55"/>
      <c r="K42" s="55"/>
      <c r="L42" s="55"/>
      <c r="M42" s="55"/>
      <c r="N42" s="55"/>
      <c r="O42" s="55"/>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row>
    <row r="43" spans="1:41" ht="12.75" x14ac:dyDescent="0.2">
      <c r="C43" s="192"/>
      <c r="D43" s="297"/>
      <c r="E43" s="297"/>
      <c r="F43" s="298"/>
      <c r="G43" s="298"/>
      <c r="H43" s="297"/>
      <c r="I43" s="297"/>
      <c r="J43" s="297"/>
      <c r="K43" s="297"/>
      <c r="L43" s="297"/>
      <c r="M43" s="297"/>
      <c r="N43" s="297"/>
      <c r="O43" s="297"/>
      <c r="P43" s="297"/>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33"/>
      <c r="AO43" s="533"/>
    </row>
    <row r="44" spans="1:41" s="338" customFormat="1" ht="24" customHeight="1" x14ac:dyDescent="0.25">
      <c r="A44" s="297"/>
      <c r="B44" s="281" t="s">
        <v>279</v>
      </c>
      <c r="C44" s="192"/>
      <c r="D44" s="192"/>
      <c r="E44" s="192"/>
      <c r="F44" s="367"/>
      <c r="G44" s="367"/>
      <c r="H44" s="192"/>
      <c r="I44" s="192"/>
      <c r="J44" s="297"/>
      <c r="K44" s="297"/>
      <c r="L44" s="297"/>
      <c r="M44" s="297"/>
      <c r="N44" s="297"/>
      <c r="O44" s="297"/>
      <c r="P44" s="297"/>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row>
    <row r="45" spans="1:41" s="338" customFormat="1" ht="7.5" customHeight="1" x14ac:dyDescent="0.2">
      <c r="A45" s="297"/>
      <c r="B45" s="200"/>
      <c r="C45" s="192"/>
      <c r="D45" s="192"/>
      <c r="E45" s="192"/>
      <c r="F45" s="367"/>
      <c r="G45" s="367"/>
      <c r="H45" s="192"/>
      <c r="I45" s="192"/>
      <c r="J45" s="297"/>
      <c r="K45" s="297"/>
      <c r="L45" s="297"/>
      <c r="M45" s="297"/>
      <c r="N45" s="297"/>
      <c r="O45" s="297"/>
      <c r="P45" s="297"/>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row>
    <row r="46" spans="1:41" ht="13.5" customHeight="1" x14ac:dyDescent="0.2">
      <c r="B46" s="311" t="s">
        <v>273</v>
      </c>
      <c r="C46" s="89"/>
      <c r="D46" s="192"/>
      <c r="E46" s="192"/>
      <c r="F46" s="367"/>
      <c r="G46" s="367"/>
      <c r="H46" s="192"/>
      <c r="I46" s="192"/>
      <c r="J46" s="297"/>
      <c r="K46" s="297"/>
      <c r="L46" s="297"/>
      <c r="M46" s="297"/>
      <c r="N46" s="297"/>
      <c r="O46" s="297"/>
      <c r="P46" s="297"/>
      <c r="Q46" s="533"/>
      <c r="R46" s="533"/>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row>
    <row r="47" spans="1:41" ht="13.5" customHeight="1" x14ac:dyDescent="0.2">
      <c r="B47" s="368"/>
      <c r="C47" s="369"/>
      <c r="D47" s="368"/>
      <c r="E47" s="368"/>
      <c r="F47" s="370"/>
      <c r="G47" s="370"/>
      <c r="H47" s="368"/>
      <c r="I47" s="368"/>
      <c r="J47" s="368"/>
      <c r="K47" s="368"/>
      <c r="L47" s="368"/>
      <c r="M47" s="368"/>
      <c r="N47" s="368"/>
      <c r="O47" s="368"/>
      <c r="P47" s="368"/>
      <c r="Q47" s="533"/>
      <c r="R47" s="533"/>
      <c r="S47" s="533"/>
      <c r="T47" s="533"/>
      <c r="U47" s="533"/>
      <c r="V47" s="533"/>
      <c r="W47" s="533"/>
      <c r="X47" s="533"/>
      <c r="Y47" s="533"/>
      <c r="Z47" s="533"/>
      <c r="AA47" s="533"/>
      <c r="AB47" s="533"/>
      <c r="AC47" s="533"/>
      <c r="AD47" s="533"/>
      <c r="AE47" s="533"/>
      <c r="AF47" s="533"/>
      <c r="AG47" s="533"/>
      <c r="AH47" s="533"/>
      <c r="AI47" s="533"/>
      <c r="AJ47" s="533"/>
      <c r="AK47" s="533"/>
      <c r="AL47" s="533"/>
      <c r="AM47" s="533"/>
      <c r="AN47" s="533"/>
      <c r="AO47" s="533"/>
    </row>
    <row r="48" spans="1:41" ht="12.75" x14ac:dyDescent="0.2">
      <c r="B48" s="371"/>
      <c r="C48" s="372"/>
      <c r="D48" s="373"/>
      <c r="E48" s="373"/>
      <c r="F48" s="371"/>
      <c r="G48" s="371"/>
      <c r="H48" s="371"/>
      <c r="I48" s="374"/>
      <c r="J48" s="375"/>
      <c r="K48" s="376"/>
      <c r="L48" s="376"/>
      <c r="M48" s="376"/>
      <c r="N48" s="377" t="s">
        <v>109</v>
      </c>
      <c r="O48" s="377"/>
      <c r="P48" s="378"/>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row>
    <row r="49" spans="1:41" ht="12.75" x14ac:dyDescent="0.2">
      <c r="B49" s="379"/>
      <c r="C49" s="380"/>
      <c r="D49" s="380"/>
      <c r="E49" s="380"/>
      <c r="F49" s="379"/>
      <c r="G49" s="379"/>
      <c r="H49" s="381" t="s">
        <v>77</v>
      </c>
      <c r="I49" s="374" t="s">
        <v>79</v>
      </c>
      <c r="J49" s="53" t="s">
        <v>201</v>
      </c>
      <c r="K49" s="322" t="s">
        <v>203</v>
      </c>
      <c r="L49" s="382" t="s">
        <v>75</v>
      </c>
      <c r="M49" s="382" t="s">
        <v>73</v>
      </c>
      <c r="N49" s="375" t="s">
        <v>74</v>
      </c>
      <c r="O49" s="375"/>
      <c r="P49" s="378"/>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33"/>
      <c r="AO49" s="533"/>
    </row>
    <row r="50" spans="1:41" ht="12.75" x14ac:dyDescent="0.2">
      <c r="B50" s="379"/>
      <c r="C50" s="380"/>
      <c r="D50" s="380"/>
      <c r="E50" s="380"/>
      <c r="F50" s="379"/>
      <c r="G50" s="379"/>
      <c r="H50" s="381" t="s">
        <v>81</v>
      </c>
      <c r="I50" s="374" t="s">
        <v>2</v>
      </c>
      <c r="J50" s="194" t="s">
        <v>202</v>
      </c>
      <c r="K50" s="322" t="s">
        <v>204</v>
      </c>
      <c r="L50" s="382" t="s">
        <v>80</v>
      </c>
      <c r="M50" s="382" t="s">
        <v>78</v>
      </c>
      <c r="N50" s="375" t="s">
        <v>43</v>
      </c>
      <c r="O50" s="375"/>
      <c r="P50" s="378"/>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c r="AO50" s="533"/>
    </row>
    <row r="51" spans="1:41" ht="12.75" x14ac:dyDescent="0.2">
      <c r="B51" s="383"/>
      <c r="C51" s="384" t="s">
        <v>193</v>
      </c>
      <c r="D51" s="385"/>
      <c r="E51" s="386" t="s">
        <v>244</v>
      </c>
      <c r="F51" s="383"/>
      <c r="G51" s="383"/>
      <c r="H51" s="387" t="s">
        <v>83</v>
      </c>
      <c r="I51" s="388" t="s">
        <v>83</v>
      </c>
      <c r="J51" s="330" t="s">
        <v>83</v>
      </c>
      <c r="K51" s="389" t="s">
        <v>83</v>
      </c>
      <c r="L51" s="390" t="s">
        <v>83</v>
      </c>
      <c r="M51" s="390" t="s">
        <v>83</v>
      </c>
      <c r="N51" s="387" t="s">
        <v>83</v>
      </c>
      <c r="O51" s="387"/>
      <c r="P51" s="391"/>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33"/>
      <c r="AO51" s="533"/>
    </row>
    <row r="52" spans="1:41" ht="6.75" customHeight="1" x14ac:dyDescent="0.2">
      <c r="B52" s="392"/>
      <c r="C52" s="393"/>
      <c r="D52" s="394"/>
      <c r="E52" s="394"/>
      <c r="F52" s="392"/>
      <c r="G52" s="395"/>
      <c r="H52" s="396"/>
      <c r="I52" s="397"/>
      <c r="J52" s="396"/>
      <c r="K52" s="398"/>
      <c r="L52" s="398"/>
      <c r="M52" s="398"/>
      <c r="N52" s="396"/>
      <c r="O52" s="396"/>
      <c r="P52" s="396"/>
      <c r="Q52" s="533"/>
      <c r="R52" s="533"/>
      <c r="S52" s="533"/>
      <c r="T52" s="533"/>
      <c r="U52" s="533"/>
      <c r="V52" s="533"/>
      <c r="W52" s="533"/>
      <c r="X52" s="533"/>
      <c r="Y52" s="533"/>
      <c r="Z52" s="533"/>
      <c r="AA52" s="533"/>
      <c r="AB52" s="533"/>
      <c r="AC52" s="533"/>
      <c r="AD52" s="533"/>
      <c r="AE52" s="533"/>
      <c r="AF52" s="533"/>
      <c r="AG52" s="533"/>
      <c r="AH52" s="533"/>
      <c r="AI52" s="533"/>
      <c r="AJ52" s="533"/>
      <c r="AK52" s="533"/>
      <c r="AL52" s="533"/>
      <c r="AM52" s="533"/>
      <c r="AN52" s="533"/>
      <c r="AO52" s="533"/>
    </row>
    <row r="53" spans="1:41" ht="12.75" x14ac:dyDescent="0.2">
      <c r="B53" s="395"/>
      <c r="C53" s="471" t="s">
        <v>286</v>
      </c>
      <c r="D53" s="399"/>
      <c r="E53" s="400" t="str">
        <f>VLOOKUP($C$53,Rotations[],10,FALSE)</f>
        <v>4 and 6</v>
      </c>
      <c r="F53" s="395"/>
      <c r="G53" s="395"/>
      <c r="H53" s="396">
        <f>VLOOKUP($C$53,Rotations[],3,FALSE)</f>
        <v>273.92</v>
      </c>
      <c r="I53" s="397">
        <f>VLOOKUP($C$53,Rotations[],4,FALSE)</f>
        <v>112.81647224999999</v>
      </c>
      <c r="J53" s="396">
        <f>VLOOKUP($C$53,Rotations[],5,FALSE)</f>
        <v>146.11527560312501</v>
      </c>
      <c r="K53" s="398">
        <f>VLOOKUP($C$53,Rotations[],6,FALSE)</f>
        <v>258.93174785312499</v>
      </c>
      <c r="L53" s="429">
        <f>VLOOKUP($C$53,Rotations[],7,FALSE)</f>
        <v>161.10352775000001</v>
      </c>
      <c r="M53" s="429">
        <f>VLOOKUP($C$53,Rotations[],8,FALSE)</f>
        <v>14.98825214687499</v>
      </c>
      <c r="N53" s="396">
        <f>VLOOKUP($C$53,Rotations[],9,FALSE)</f>
        <v>62</v>
      </c>
      <c r="O53" s="396"/>
      <c r="P53" s="396"/>
      <c r="Q53" s="533"/>
      <c r="R53" s="533"/>
      <c r="S53" s="533"/>
      <c r="T53" s="533"/>
      <c r="U53" s="533"/>
      <c r="V53" s="533"/>
      <c r="W53" s="533"/>
      <c r="X53" s="533"/>
      <c r="Y53" s="533"/>
      <c r="Z53" s="533"/>
      <c r="AA53" s="533"/>
      <c r="AB53" s="533"/>
      <c r="AC53" s="533"/>
      <c r="AD53" s="533"/>
      <c r="AE53" s="533"/>
      <c r="AF53" s="533"/>
      <c r="AG53" s="533"/>
      <c r="AH53" s="533"/>
      <c r="AI53" s="533"/>
      <c r="AJ53" s="533"/>
      <c r="AK53" s="533"/>
      <c r="AL53" s="533"/>
      <c r="AM53" s="533"/>
      <c r="AN53" s="533"/>
      <c r="AO53" s="533"/>
    </row>
    <row r="54" spans="1:41" ht="6.75" customHeight="1" x14ac:dyDescent="0.2">
      <c r="B54" s="395"/>
      <c r="C54" s="395"/>
      <c r="D54" s="399"/>
      <c r="E54" s="399"/>
      <c r="F54" s="395"/>
      <c r="G54" s="395"/>
      <c r="H54" s="396"/>
      <c r="I54" s="397"/>
      <c r="J54" s="396"/>
      <c r="K54" s="398"/>
      <c r="L54" s="429"/>
      <c r="M54" s="429"/>
      <c r="N54" s="396"/>
      <c r="O54" s="396"/>
      <c r="P54" s="396"/>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row>
    <row r="55" spans="1:41" ht="12.75" x14ac:dyDescent="0.2">
      <c r="B55" s="395"/>
      <c r="C55" s="471" t="s">
        <v>290</v>
      </c>
      <c r="D55" s="399"/>
      <c r="E55" s="400" t="str">
        <f>VLOOKUP($C$55,Rotations[],10,FALSE)</f>
        <v>1 and 3</v>
      </c>
      <c r="F55" s="395"/>
      <c r="G55" s="395"/>
      <c r="H55" s="396">
        <f>VLOOKUP($C$55,Rotations[],3,FALSE)</f>
        <v>276.92</v>
      </c>
      <c r="I55" s="397">
        <f>VLOOKUP($C$55,Rotations[],4,FALSE)</f>
        <v>119.78517944696971</v>
      </c>
      <c r="J55" s="396">
        <f>VLOOKUP($C$55,Rotations[],5,FALSE)</f>
        <v>144.52860893645834</v>
      </c>
      <c r="K55" s="398">
        <f>VLOOKUP($C$55,Rotations[],6,FALSE)</f>
        <v>264.31378838342806</v>
      </c>
      <c r="L55" s="429">
        <f>VLOOKUP($C$55,Rotations[],7,FALSE)</f>
        <v>157.13482055303029</v>
      </c>
      <c r="M55" s="429">
        <f>VLOOKUP($C$55,Rotations[],8,FALSE)</f>
        <v>12.606211616571954</v>
      </c>
      <c r="N55" s="396">
        <f>VLOOKUP($C$55,Rotations[],9,FALSE)</f>
        <v>60.666666666666664</v>
      </c>
      <c r="O55" s="396"/>
      <c r="P55" s="399"/>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33"/>
      <c r="AO55" s="533"/>
    </row>
    <row r="56" spans="1:41" ht="12.95" customHeight="1" x14ac:dyDescent="0.2">
      <c r="A56" s="533"/>
      <c r="B56" s="357"/>
      <c r="C56" s="357"/>
      <c r="D56" s="357"/>
      <c r="E56" s="357"/>
      <c r="F56" s="357"/>
      <c r="G56" s="357"/>
      <c r="H56" s="357"/>
      <c r="I56" s="361"/>
      <c r="J56" s="357"/>
      <c r="K56" s="357"/>
      <c r="L56" s="361"/>
      <c r="M56" s="361"/>
      <c r="N56" s="361"/>
      <c r="O56" s="360"/>
      <c r="P56" s="357"/>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row>
    <row r="57" spans="1:41" ht="12.95" customHeight="1" x14ac:dyDescent="0.2">
      <c r="A57" s="533"/>
      <c r="B57" s="533"/>
      <c r="C57" s="533"/>
      <c r="D57" s="594"/>
      <c r="E57" s="629"/>
      <c r="F57" s="630"/>
      <c r="G57" s="630"/>
      <c r="H57" s="629"/>
      <c r="I57" s="533"/>
      <c r="J57" s="533"/>
      <c r="K57" s="533"/>
      <c r="L57" s="532"/>
      <c r="M57" s="631"/>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row>
    <row r="58" spans="1:41" ht="12.95" customHeight="1" x14ac:dyDescent="0.2">
      <c r="A58" s="533"/>
      <c r="B58" s="533"/>
      <c r="C58" s="533"/>
      <c r="D58" s="594"/>
      <c r="E58" s="629"/>
      <c r="F58" s="630"/>
      <c r="G58" s="630"/>
      <c r="H58" s="629"/>
      <c r="I58" s="533"/>
      <c r="J58" s="533"/>
      <c r="K58" s="533"/>
      <c r="L58" s="532"/>
      <c r="M58" s="631"/>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row>
    <row r="59" spans="1:41" ht="12.95" customHeight="1" x14ac:dyDescent="0.2">
      <c r="A59" s="533"/>
      <c r="B59" s="533"/>
      <c r="C59" s="533"/>
      <c r="D59" s="594"/>
      <c r="E59" s="629"/>
      <c r="F59" s="630"/>
      <c r="G59" s="630"/>
      <c r="H59" s="629"/>
      <c r="I59" s="533"/>
      <c r="J59" s="533"/>
      <c r="K59" s="533"/>
      <c r="L59" s="532"/>
      <c r="M59" s="631"/>
      <c r="N59" s="533"/>
      <c r="O59" s="533"/>
      <c r="P59" s="533"/>
      <c r="Q59" s="533"/>
      <c r="R59" s="533"/>
      <c r="S59" s="533"/>
      <c r="T59" s="533"/>
      <c r="U59" s="533"/>
      <c r="V59" s="533"/>
      <c r="W59" s="533"/>
      <c r="X59" s="533"/>
      <c r="Y59" s="533"/>
      <c r="Z59" s="533"/>
      <c r="AA59" s="533"/>
      <c r="AB59" s="533"/>
      <c r="AC59" s="533"/>
      <c r="AD59" s="533"/>
      <c r="AE59" s="533"/>
      <c r="AF59" s="533"/>
      <c r="AG59" s="533"/>
      <c r="AH59" s="533"/>
      <c r="AI59" s="533"/>
      <c r="AJ59" s="533"/>
      <c r="AK59" s="533"/>
      <c r="AL59" s="533"/>
      <c r="AM59" s="533"/>
      <c r="AN59" s="533"/>
      <c r="AO59" s="533"/>
    </row>
    <row r="60" spans="1:41" ht="12.95" customHeight="1" x14ac:dyDescent="0.2">
      <c r="A60" s="533"/>
      <c r="B60" s="533"/>
      <c r="C60" s="533"/>
      <c r="D60" s="594"/>
      <c r="E60" s="629"/>
      <c r="F60" s="630"/>
      <c r="G60" s="630"/>
      <c r="H60" s="629"/>
      <c r="I60" s="533"/>
      <c r="J60" s="533"/>
      <c r="K60" s="533"/>
      <c r="L60" s="532"/>
      <c r="M60" s="631"/>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33"/>
      <c r="AO60" s="533"/>
    </row>
    <row r="61" spans="1:41" ht="12.95" customHeight="1" x14ac:dyDescent="0.2">
      <c r="A61" s="533"/>
      <c r="B61" s="533"/>
      <c r="C61" s="533"/>
      <c r="D61" s="594"/>
      <c r="E61" s="629"/>
      <c r="F61" s="630"/>
      <c r="G61" s="630"/>
      <c r="H61" s="629"/>
      <c r="I61" s="533"/>
      <c r="J61" s="533"/>
      <c r="K61" s="533"/>
      <c r="L61" s="532"/>
      <c r="M61" s="631"/>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row>
    <row r="62" spans="1:41" ht="12.95" customHeight="1" x14ac:dyDescent="0.2">
      <c r="A62" s="533"/>
      <c r="B62" s="533"/>
      <c r="C62" s="533"/>
      <c r="D62" s="594"/>
      <c r="E62" s="629"/>
      <c r="F62" s="630"/>
      <c r="G62" s="630"/>
      <c r="H62" s="629"/>
      <c r="I62" s="533"/>
      <c r="J62" s="533"/>
      <c r="K62" s="533"/>
      <c r="L62" s="532"/>
      <c r="M62" s="631"/>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row>
    <row r="63" spans="1:41" ht="12.95" customHeight="1" x14ac:dyDescent="0.2">
      <c r="A63" s="533"/>
      <c r="B63" s="533"/>
      <c r="C63" s="533"/>
      <c r="D63" s="594"/>
      <c r="E63" s="629"/>
      <c r="F63" s="630"/>
      <c r="G63" s="630"/>
      <c r="H63" s="629"/>
      <c r="I63" s="533"/>
      <c r="J63" s="533"/>
      <c r="K63" s="533"/>
      <c r="L63" s="532"/>
      <c r="M63" s="631"/>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row>
    <row r="64" spans="1:41" ht="12.95" customHeight="1" x14ac:dyDescent="0.2">
      <c r="A64" s="533"/>
      <c r="B64" s="533"/>
      <c r="C64" s="533"/>
      <c r="D64" s="594"/>
      <c r="E64" s="629"/>
      <c r="F64" s="630"/>
      <c r="G64" s="630"/>
      <c r="H64" s="629"/>
      <c r="I64" s="533"/>
      <c r="J64" s="533"/>
      <c r="K64" s="533"/>
      <c r="L64" s="532"/>
      <c r="M64" s="631"/>
      <c r="N64" s="533"/>
      <c r="O64" s="533"/>
      <c r="P64" s="533"/>
      <c r="Q64" s="533"/>
      <c r="R64" s="533"/>
      <c r="S64" s="533"/>
      <c r="T64" s="533"/>
      <c r="U64" s="533"/>
      <c r="V64" s="533"/>
      <c r="W64" s="533"/>
      <c r="X64" s="533"/>
      <c r="Y64" s="533"/>
      <c r="Z64" s="533"/>
      <c r="AA64" s="533"/>
      <c r="AB64" s="533"/>
      <c r="AC64" s="533"/>
      <c r="AD64" s="533"/>
      <c r="AE64" s="533"/>
      <c r="AF64" s="533"/>
      <c r="AG64" s="533"/>
      <c r="AH64" s="533"/>
      <c r="AI64" s="533"/>
      <c r="AJ64" s="533"/>
      <c r="AK64" s="533"/>
      <c r="AL64" s="533"/>
      <c r="AM64" s="533"/>
      <c r="AN64" s="533"/>
      <c r="AO64" s="533"/>
    </row>
    <row r="65" spans="1:41" ht="12.95" customHeight="1" x14ac:dyDescent="0.2">
      <c r="A65" s="533"/>
      <c r="B65" s="533"/>
      <c r="C65" s="533"/>
      <c r="D65" s="594"/>
      <c r="E65" s="629"/>
      <c r="F65" s="630"/>
      <c r="G65" s="630"/>
      <c r="H65" s="629"/>
      <c r="I65" s="533"/>
      <c r="J65" s="533"/>
      <c r="K65" s="533"/>
      <c r="L65" s="532"/>
      <c r="M65" s="631"/>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row>
    <row r="66" spans="1:41" ht="12.95" customHeight="1" x14ac:dyDescent="0.2">
      <c r="A66" s="533"/>
      <c r="B66" s="533"/>
      <c r="C66" s="533"/>
      <c r="D66" s="594"/>
      <c r="E66" s="629"/>
      <c r="F66" s="630"/>
      <c r="G66" s="630"/>
      <c r="H66" s="629"/>
      <c r="I66" s="533"/>
      <c r="J66" s="533"/>
      <c r="K66" s="533"/>
      <c r="L66" s="532"/>
      <c r="M66" s="631"/>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row>
    <row r="67" spans="1:41" ht="12.95" customHeight="1" x14ac:dyDescent="0.2">
      <c r="A67" s="533"/>
      <c r="B67" s="533"/>
      <c r="C67" s="533"/>
      <c r="D67" s="594"/>
      <c r="E67" s="629"/>
      <c r="F67" s="630"/>
      <c r="G67" s="630"/>
      <c r="H67" s="629"/>
      <c r="I67" s="533"/>
      <c r="J67" s="533"/>
      <c r="K67" s="533"/>
      <c r="L67" s="532"/>
      <c r="M67" s="631"/>
      <c r="N67" s="533"/>
      <c r="O67" s="533"/>
      <c r="P67" s="533"/>
      <c r="Q67" s="533"/>
      <c r="R67" s="533"/>
      <c r="S67" s="533"/>
      <c r="T67" s="533"/>
      <c r="U67" s="533"/>
      <c r="V67" s="533"/>
      <c r="W67" s="533"/>
      <c r="X67" s="533"/>
      <c r="Y67" s="533"/>
      <c r="Z67" s="533"/>
      <c r="AA67" s="533"/>
      <c r="AB67" s="533"/>
      <c r="AC67" s="533"/>
      <c r="AD67" s="533"/>
      <c r="AE67" s="533"/>
      <c r="AF67" s="533"/>
      <c r="AG67" s="533"/>
      <c r="AH67" s="533"/>
      <c r="AI67" s="533"/>
      <c r="AJ67" s="533"/>
      <c r="AK67" s="533"/>
      <c r="AL67" s="533"/>
      <c r="AM67" s="533"/>
      <c r="AN67" s="533"/>
      <c r="AO67" s="533"/>
    </row>
    <row r="68" spans="1:41" ht="12.95" customHeight="1" x14ac:dyDescent="0.2">
      <c r="A68" s="533"/>
      <c r="B68" s="533"/>
      <c r="C68" s="533"/>
      <c r="D68" s="594"/>
      <c r="E68" s="629"/>
      <c r="F68" s="630"/>
      <c r="G68" s="630"/>
      <c r="H68" s="629"/>
      <c r="I68" s="533"/>
      <c r="J68" s="533"/>
      <c r="K68" s="533"/>
      <c r="L68" s="532"/>
      <c r="M68" s="631"/>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533"/>
      <c r="AL68" s="533"/>
      <c r="AM68" s="533"/>
      <c r="AN68" s="533"/>
      <c r="AO68" s="533"/>
    </row>
    <row r="69" spans="1:41" ht="12.95" customHeight="1" x14ac:dyDescent="0.2">
      <c r="A69" s="533"/>
      <c r="B69" s="533"/>
      <c r="C69" s="533"/>
      <c r="D69" s="594"/>
      <c r="E69" s="629"/>
      <c r="F69" s="630"/>
      <c r="G69" s="630"/>
      <c r="H69" s="629"/>
      <c r="I69" s="533"/>
      <c r="J69" s="533"/>
      <c r="K69" s="533"/>
      <c r="L69" s="532"/>
      <c r="M69" s="631"/>
      <c r="N69" s="533"/>
      <c r="O69" s="533"/>
      <c r="P69" s="533"/>
      <c r="Q69" s="533"/>
      <c r="R69" s="533"/>
      <c r="S69" s="533"/>
      <c r="T69" s="533"/>
      <c r="U69" s="533"/>
      <c r="V69" s="533"/>
      <c r="W69" s="533"/>
      <c r="X69" s="533"/>
      <c r="Y69" s="533"/>
      <c r="Z69" s="533"/>
      <c r="AA69" s="533"/>
      <c r="AB69" s="533"/>
      <c r="AC69" s="533"/>
      <c r="AD69" s="533"/>
      <c r="AE69" s="533"/>
      <c r="AF69" s="533"/>
      <c r="AG69" s="533"/>
      <c r="AH69" s="533"/>
      <c r="AI69" s="533"/>
      <c r="AJ69" s="533"/>
      <c r="AK69" s="533"/>
      <c r="AL69" s="533"/>
      <c r="AM69" s="533"/>
      <c r="AN69" s="533"/>
      <c r="AO69" s="533"/>
    </row>
    <row r="70" spans="1:41" ht="12.95" customHeight="1" x14ac:dyDescent="0.2">
      <c r="A70" s="533"/>
      <c r="B70" s="533"/>
      <c r="C70" s="533"/>
      <c r="D70" s="594"/>
      <c r="E70" s="629"/>
      <c r="F70" s="630"/>
      <c r="G70" s="630"/>
      <c r="H70" s="629"/>
      <c r="I70" s="533"/>
      <c r="J70" s="533"/>
      <c r="K70" s="533"/>
      <c r="L70" s="532"/>
      <c r="M70" s="631"/>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row>
    <row r="71" spans="1:41" ht="12.95" customHeight="1" x14ac:dyDescent="0.2">
      <c r="A71" s="533"/>
      <c r="B71" s="533"/>
      <c r="C71" s="533"/>
      <c r="D71" s="594"/>
      <c r="E71" s="629"/>
      <c r="F71" s="630"/>
      <c r="G71" s="630"/>
      <c r="H71" s="629"/>
      <c r="I71" s="533"/>
      <c r="J71" s="533"/>
      <c r="K71" s="533"/>
      <c r="L71" s="532"/>
      <c r="M71" s="631"/>
      <c r="N71" s="533"/>
      <c r="O71" s="533"/>
      <c r="P71" s="533"/>
      <c r="Q71" s="533"/>
      <c r="R71" s="533"/>
      <c r="S71" s="533"/>
      <c r="T71" s="533"/>
      <c r="U71" s="533"/>
      <c r="V71" s="533"/>
      <c r="W71" s="533"/>
      <c r="X71" s="533"/>
      <c r="Y71" s="533"/>
      <c r="Z71" s="533"/>
      <c r="AA71" s="533"/>
      <c r="AB71" s="533"/>
      <c r="AC71" s="533"/>
      <c r="AD71" s="533"/>
      <c r="AE71" s="533"/>
      <c r="AF71" s="533"/>
      <c r="AG71" s="533"/>
      <c r="AH71" s="533"/>
      <c r="AI71" s="533"/>
      <c r="AJ71" s="533"/>
      <c r="AK71" s="533"/>
      <c r="AL71" s="533"/>
      <c r="AM71" s="533"/>
      <c r="AN71" s="533"/>
      <c r="AO71" s="533"/>
    </row>
    <row r="72" spans="1:41" ht="12.95" customHeight="1" x14ac:dyDescent="0.2">
      <c r="A72" s="533"/>
      <c r="B72" s="533"/>
      <c r="C72" s="533"/>
      <c r="D72" s="594"/>
      <c r="E72" s="629"/>
      <c r="F72" s="630"/>
      <c r="G72" s="630"/>
      <c r="H72" s="629"/>
      <c r="I72" s="533"/>
      <c r="J72" s="533"/>
      <c r="K72" s="533"/>
      <c r="L72" s="532"/>
      <c r="M72" s="631"/>
      <c r="N72" s="533"/>
      <c r="O72" s="533"/>
      <c r="P72" s="533"/>
      <c r="Q72" s="533"/>
      <c r="R72" s="533"/>
      <c r="S72" s="533"/>
      <c r="T72" s="533"/>
      <c r="U72" s="533"/>
      <c r="V72" s="533"/>
      <c r="W72" s="533"/>
      <c r="X72" s="533"/>
      <c r="Y72" s="533"/>
      <c r="Z72" s="533"/>
      <c r="AA72" s="533"/>
      <c r="AB72" s="533"/>
      <c r="AC72" s="533"/>
      <c r="AD72" s="533"/>
      <c r="AE72" s="533"/>
      <c r="AF72" s="533"/>
      <c r="AG72" s="533"/>
      <c r="AH72" s="533"/>
      <c r="AI72" s="533"/>
      <c r="AJ72" s="533"/>
      <c r="AK72" s="533"/>
      <c r="AL72" s="533"/>
      <c r="AM72" s="533"/>
      <c r="AN72" s="533"/>
      <c r="AO72" s="533"/>
    </row>
    <row r="73" spans="1:41" ht="12.95" customHeight="1" x14ac:dyDescent="0.2">
      <c r="A73" s="533"/>
      <c r="B73" s="533"/>
      <c r="C73" s="533"/>
      <c r="D73" s="594"/>
      <c r="E73" s="629"/>
      <c r="F73" s="630"/>
      <c r="G73" s="630"/>
      <c r="H73" s="629"/>
      <c r="I73" s="533"/>
      <c r="J73" s="533"/>
      <c r="K73" s="533"/>
      <c r="L73" s="532"/>
      <c r="M73" s="631"/>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row>
    <row r="74" spans="1:41" ht="12.95" customHeight="1" x14ac:dyDescent="0.2">
      <c r="A74" s="533"/>
      <c r="B74" s="533"/>
      <c r="C74" s="533"/>
      <c r="D74" s="594"/>
      <c r="E74" s="629"/>
      <c r="F74" s="630"/>
      <c r="G74" s="630"/>
      <c r="H74" s="629"/>
      <c r="I74" s="533"/>
      <c r="J74" s="533"/>
      <c r="K74" s="533"/>
      <c r="L74" s="532"/>
      <c r="M74" s="631"/>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3"/>
      <c r="AK74" s="533"/>
      <c r="AL74" s="533"/>
      <c r="AM74" s="533"/>
      <c r="AN74" s="533"/>
      <c r="AO74" s="533"/>
    </row>
    <row r="75" spans="1:41" ht="12.95" customHeight="1" x14ac:dyDescent="0.2">
      <c r="A75" s="533"/>
      <c r="B75" s="533"/>
      <c r="C75" s="533"/>
      <c r="D75" s="594"/>
      <c r="E75" s="629"/>
      <c r="F75" s="630"/>
      <c r="G75" s="630"/>
      <c r="H75" s="629"/>
      <c r="I75" s="533"/>
      <c r="J75" s="533"/>
      <c r="K75" s="533"/>
      <c r="L75" s="532"/>
      <c r="M75" s="631"/>
      <c r="N75" s="533"/>
      <c r="O75" s="533"/>
      <c r="P75" s="533"/>
      <c r="Q75" s="533"/>
      <c r="R75" s="533"/>
      <c r="S75" s="533"/>
      <c r="T75" s="533"/>
      <c r="U75" s="533"/>
      <c r="V75" s="533"/>
      <c r="W75" s="533"/>
      <c r="X75" s="533"/>
      <c r="Y75" s="533"/>
      <c r="Z75" s="533"/>
      <c r="AA75" s="533"/>
      <c r="AB75" s="533"/>
      <c r="AC75" s="533"/>
      <c r="AD75" s="533"/>
      <c r="AE75" s="533"/>
      <c r="AF75" s="533"/>
      <c r="AG75" s="533"/>
      <c r="AH75" s="533"/>
      <c r="AI75" s="533"/>
      <c r="AJ75" s="533"/>
      <c r="AK75" s="533"/>
      <c r="AL75" s="533"/>
      <c r="AM75" s="533"/>
      <c r="AN75" s="533"/>
      <c r="AO75" s="533"/>
    </row>
    <row r="76" spans="1:41" ht="12.95" customHeight="1" x14ac:dyDescent="0.2">
      <c r="A76" s="533"/>
      <c r="B76" s="533"/>
      <c r="C76" s="533"/>
      <c r="D76" s="594"/>
      <c r="E76" s="629"/>
      <c r="F76" s="630"/>
      <c r="G76" s="630"/>
      <c r="H76" s="629"/>
      <c r="I76" s="533"/>
      <c r="J76" s="533"/>
      <c r="K76" s="533"/>
      <c r="L76" s="532"/>
      <c r="M76" s="631"/>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row>
    <row r="77" spans="1:41" ht="12.95" customHeight="1" x14ac:dyDescent="0.2">
      <c r="A77" s="533"/>
      <c r="B77" s="533"/>
      <c r="C77" s="533"/>
      <c r="D77" s="594"/>
      <c r="E77" s="629"/>
      <c r="F77" s="630"/>
      <c r="G77" s="630"/>
      <c r="H77" s="629"/>
      <c r="I77" s="533"/>
      <c r="J77" s="533"/>
      <c r="K77" s="533"/>
      <c r="L77" s="532"/>
      <c r="M77" s="631"/>
      <c r="N77" s="533"/>
      <c r="O77" s="533"/>
      <c r="P77" s="533"/>
      <c r="Q77" s="533"/>
      <c r="R77" s="533"/>
      <c r="S77" s="533"/>
      <c r="T77" s="533"/>
      <c r="U77" s="533"/>
      <c r="V77" s="533"/>
      <c r="W77" s="533"/>
      <c r="X77" s="533"/>
      <c r="Y77" s="533"/>
      <c r="Z77" s="533"/>
      <c r="AA77" s="533"/>
      <c r="AB77" s="533"/>
      <c r="AC77" s="533"/>
      <c r="AD77" s="533"/>
      <c r="AE77" s="533"/>
      <c r="AF77" s="533"/>
      <c r="AG77" s="533"/>
      <c r="AH77" s="533"/>
      <c r="AI77" s="533"/>
      <c r="AJ77" s="533"/>
      <c r="AK77" s="533"/>
      <c r="AL77" s="533"/>
      <c r="AM77" s="533"/>
      <c r="AN77" s="533"/>
      <c r="AO77" s="533"/>
    </row>
    <row r="78" spans="1:41" ht="12.95" customHeight="1" x14ac:dyDescent="0.2">
      <c r="A78" s="533"/>
      <c r="B78" s="533"/>
      <c r="C78" s="533"/>
      <c r="D78" s="594"/>
      <c r="E78" s="629"/>
      <c r="F78" s="630"/>
      <c r="G78" s="630"/>
      <c r="H78" s="629"/>
      <c r="I78" s="533"/>
      <c r="J78" s="533"/>
      <c r="K78" s="533"/>
      <c r="L78" s="532"/>
      <c r="M78" s="631"/>
      <c r="N78" s="533"/>
      <c r="O78" s="533"/>
      <c r="P78" s="533"/>
      <c r="Q78" s="533"/>
      <c r="R78" s="533"/>
      <c r="S78" s="533"/>
      <c r="T78" s="533"/>
      <c r="U78" s="533"/>
      <c r="V78" s="533"/>
      <c r="W78" s="533"/>
      <c r="X78" s="533"/>
      <c r="Y78" s="533"/>
      <c r="Z78" s="533"/>
      <c r="AA78" s="533"/>
      <c r="AB78" s="533"/>
      <c r="AC78" s="533"/>
      <c r="AD78" s="533"/>
      <c r="AE78" s="533"/>
      <c r="AF78" s="533"/>
      <c r="AG78" s="533"/>
      <c r="AH78" s="533"/>
      <c r="AI78" s="533"/>
      <c r="AJ78" s="533"/>
      <c r="AK78" s="533"/>
      <c r="AL78" s="533"/>
      <c r="AM78" s="533"/>
      <c r="AN78" s="533"/>
      <c r="AO78" s="533"/>
    </row>
    <row r="79" spans="1:41" ht="12.95" customHeight="1" x14ac:dyDescent="0.2">
      <c r="A79" s="533"/>
      <c r="B79" s="533"/>
      <c r="C79" s="533"/>
      <c r="D79" s="594"/>
      <c r="E79" s="629"/>
      <c r="F79" s="630"/>
      <c r="G79" s="630"/>
      <c r="H79" s="629"/>
      <c r="I79" s="533"/>
      <c r="J79" s="533"/>
      <c r="K79" s="533"/>
      <c r="L79" s="532"/>
      <c r="M79" s="631"/>
      <c r="N79" s="533"/>
      <c r="O79" s="533"/>
      <c r="P79" s="533"/>
      <c r="Q79" s="533"/>
      <c r="R79" s="533"/>
      <c r="S79" s="533"/>
      <c r="T79" s="533"/>
      <c r="U79" s="533"/>
      <c r="V79" s="533"/>
      <c r="W79" s="533"/>
      <c r="X79" s="533"/>
      <c r="Y79" s="533"/>
      <c r="Z79" s="533"/>
      <c r="AA79" s="533"/>
      <c r="AB79" s="533"/>
      <c r="AC79" s="533"/>
      <c r="AD79" s="533"/>
      <c r="AE79" s="533"/>
      <c r="AF79" s="533"/>
      <c r="AG79" s="533"/>
      <c r="AH79" s="533"/>
      <c r="AI79" s="533"/>
      <c r="AJ79" s="533"/>
      <c r="AK79" s="533"/>
      <c r="AL79" s="533"/>
      <c r="AM79" s="533"/>
      <c r="AN79" s="533"/>
      <c r="AO79" s="533"/>
    </row>
    <row r="80" spans="1:41" ht="12.95" customHeight="1" x14ac:dyDescent="0.2">
      <c r="A80" s="533"/>
      <c r="B80" s="533"/>
      <c r="C80" s="533"/>
      <c r="D80" s="594"/>
      <c r="E80" s="629"/>
      <c r="F80" s="630"/>
      <c r="G80" s="630"/>
      <c r="H80" s="629"/>
      <c r="I80" s="533"/>
      <c r="J80" s="533"/>
      <c r="K80" s="533"/>
      <c r="L80" s="532"/>
      <c r="M80" s="631"/>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3"/>
      <c r="AL80" s="533"/>
      <c r="AM80" s="533"/>
      <c r="AN80" s="533"/>
      <c r="AO80" s="533"/>
    </row>
    <row r="81" spans="1:41" ht="12.95" customHeight="1" x14ac:dyDescent="0.2">
      <c r="A81" s="533"/>
      <c r="B81" s="533"/>
      <c r="C81" s="533"/>
      <c r="D81" s="594"/>
      <c r="E81" s="629"/>
      <c r="F81" s="630"/>
      <c r="G81" s="630"/>
      <c r="H81" s="629"/>
      <c r="I81" s="533"/>
      <c r="J81" s="533"/>
      <c r="K81" s="533"/>
      <c r="L81" s="532"/>
      <c r="M81" s="631"/>
      <c r="N81" s="533"/>
      <c r="O81" s="533"/>
      <c r="P81" s="533"/>
      <c r="Q81" s="533"/>
      <c r="R81" s="533"/>
      <c r="S81" s="533"/>
      <c r="T81" s="533"/>
      <c r="U81" s="533"/>
      <c r="V81" s="533"/>
      <c r="W81" s="533"/>
      <c r="X81" s="533"/>
      <c r="Y81" s="533"/>
      <c r="Z81" s="533"/>
      <c r="AA81" s="533"/>
      <c r="AB81" s="533"/>
      <c r="AC81" s="533"/>
      <c r="AD81" s="533"/>
      <c r="AE81" s="533"/>
      <c r="AF81" s="533"/>
      <c r="AG81" s="533"/>
      <c r="AH81" s="533"/>
      <c r="AI81" s="533"/>
      <c r="AJ81" s="533"/>
      <c r="AK81" s="533"/>
      <c r="AL81" s="533"/>
      <c r="AM81" s="533"/>
      <c r="AN81" s="533"/>
      <c r="AO81" s="533"/>
    </row>
    <row r="82" spans="1:41" ht="12.95" customHeight="1" x14ac:dyDescent="0.2">
      <c r="A82" s="533"/>
      <c r="B82" s="533"/>
      <c r="C82" s="533"/>
      <c r="D82" s="594"/>
      <c r="E82" s="629"/>
      <c r="F82" s="630"/>
      <c r="G82" s="630"/>
      <c r="H82" s="629"/>
      <c r="I82" s="533"/>
      <c r="J82" s="533"/>
      <c r="K82" s="533"/>
      <c r="L82" s="532"/>
      <c r="M82" s="631"/>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row>
    <row r="83" spans="1:41" ht="12.95" customHeight="1" x14ac:dyDescent="0.2">
      <c r="A83" s="533"/>
      <c r="B83" s="533"/>
      <c r="C83" s="533"/>
      <c r="D83" s="594"/>
      <c r="E83" s="629"/>
      <c r="F83" s="630"/>
      <c r="G83" s="630"/>
      <c r="H83" s="629"/>
      <c r="I83" s="533"/>
      <c r="J83" s="533"/>
      <c r="K83" s="533"/>
      <c r="L83" s="532"/>
      <c r="M83" s="631"/>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row>
    <row r="84" spans="1:41" ht="12.95" customHeight="1" x14ac:dyDescent="0.2">
      <c r="A84" s="533"/>
      <c r="B84" s="533"/>
      <c r="C84" s="533"/>
      <c r="D84" s="594"/>
      <c r="E84" s="629"/>
      <c r="F84" s="630"/>
      <c r="G84" s="630"/>
      <c r="H84" s="629"/>
      <c r="I84" s="533"/>
      <c r="J84" s="533"/>
      <c r="K84" s="533"/>
      <c r="L84" s="532"/>
      <c r="M84" s="631"/>
      <c r="N84" s="533"/>
      <c r="O84" s="533"/>
      <c r="P84" s="533"/>
      <c r="Q84" s="533"/>
      <c r="R84" s="533"/>
      <c r="S84" s="533"/>
      <c r="T84" s="533"/>
      <c r="U84" s="533"/>
      <c r="V84" s="533"/>
      <c r="W84" s="533"/>
      <c r="X84" s="533"/>
      <c r="Y84" s="533"/>
      <c r="Z84" s="533"/>
      <c r="AA84" s="533"/>
      <c r="AB84" s="533"/>
      <c r="AC84" s="533"/>
      <c r="AD84" s="533"/>
      <c r="AE84" s="533"/>
      <c r="AF84" s="533"/>
      <c r="AG84" s="533"/>
      <c r="AH84" s="533"/>
      <c r="AI84" s="533"/>
      <c r="AJ84" s="533"/>
      <c r="AK84" s="533"/>
      <c r="AL84" s="533"/>
      <c r="AM84" s="533"/>
      <c r="AN84" s="533"/>
      <c r="AO84" s="533"/>
    </row>
    <row r="85" spans="1:41" ht="12.95" customHeight="1" x14ac:dyDescent="0.2">
      <c r="A85" s="533"/>
      <c r="B85" s="533"/>
      <c r="C85" s="533"/>
      <c r="D85" s="594"/>
      <c r="E85" s="629"/>
      <c r="F85" s="630"/>
      <c r="G85" s="630"/>
      <c r="H85" s="629"/>
      <c r="I85" s="533"/>
      <c r="J85" s="533"/>
      <c r="K85" s="533"/>
      <c r="L85" s="532"/>
      <c r="M85" s="631"/>
      <c r="N85" s="533"/>
      <c r="O85" s="533"/>
      <c r="P85" s="533"/>
      <c r="Q85" s="533"/>
      <c r="R85" s="533"/>
      <c r="S85" s="533"/>
      <c r="T85" s="533"/>
      <c r="U85" s="533"/>
      <c r="V85" s="533"/>
      <c r="W85" s="533"/>
      <c r="X85" s="533"/>
      <c r="Y85" s="533"/>
      <c r="Z85" s="533"/>
      <c r="AA85" s="533"/>
      <c r="AB85" s="533"/>
      <c r="AC85" s="533"/>
      <c r="AD85" s="533"/>
      <c r="AE85" s="533"/>
      <c r="AF85" s="533"/>
      <c r="AG85" s="533"/>
      <c r="AH85" s="533"/>
      <c r="AI85" s="533"/>
      <c r="AJ85" s="533"/>
      <c r="AK85" s="533"/>
      <c r="AL85" s="533"/>
      <c r="AM85" s="533"/>
      <c r="AN85" s="533"/>
      <c r="AO85" s="533"/>
    </row>
    <row r="86" spans="1:41" ht="12.95" customHeight="1" x14ac:dyDescent="0.2">
      <c r="A86" s="533"/>
      <c r="B86" s="533"/>
      <c r="C86" s="533"/>
      <c r="D86" s="594"/>
      <c r="E86" s="629"/>
      <c r="F86" s="630"/>
      <c r="G86" s="630"/>
      <c r="H86" s="629"/>
      <c r="I86" s="533"/>
      <c r="J86" s="533"/>
      <c r="K86" s="533"/>
      <c r="L86" s="532"/>
      <c r="M86" s="631"/>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row>
    <row r="87" spans="1:41" ht="12.95" customHeight="1" x14ac:dyDescent="0.2">
      <c r="A87" s="533"/>
      <c r="B87" s="533"/>
      <c r="C87" s="533"/>
      <c r="D87" s="594"/>
      <c r="E87" s="629"/>
      <c r="F87" s="630"/>
      <c r="G87" s="630"/>
      <c r="H87" s="629"/>
      <c r="I87" s="533"/>
      <c r="J87" s="533"/>
      <c r="K87" s="533"/>
      <c r="L87" s="532"/>
      <c r="M87" s="631"/>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row>
    <row r="88" spans="1:41" ht="12.95" customHeight="1" x14ac:dyDescent="0.2">
      <c r="A88" s="533"/>
      <c r="B88" s="533"/>
      <c r="C88" s="533"/>
      <c r="D88" s="594"/>
      <c r="E88" s="629"/>
      <c r="F88" s="630"/>
      <c r="G88" s="630"/>
      <c r="H88" s="629"/>
      <c r="I88" s="533"/>
      <c r="J88" s="533"/>
      <c r="K88" s="533"/>
      <c r="L88" s="532"/>
      <c r="M88" s="631"/>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row>
    <row r="89" spans="1:41" ht="12.95" customHeight="1" x14ac:dyDescent="0.2">
      <c r="A89" s="533"/>
      <c r="B89" s="533"/>
      <c r="C89" s="533"/>
      <c r="D89" s="594"/>
      <c r="E89" s="629"/>
      <c r="F89" s="630"/>
      <c r="G89" s="630"/>
      <c r="H89" s="629"/>
      <c r="I89" s="533"/>
      <c r="J89" s="533"/>
      <c r="K89" s="533"/>
      <c r="L89" s="532"/>
      <c r="M89" s="631"/>
      <c r="N89" s="533"/>
      <c r="O89" s="533"/>
      <c r="P89" s="533"/>
      <c r="Q89" s="533"/>
      <c r="R89" s="533"/>
      <c r="S89" s="533"/>
      <c r="T89" s="533"/>
      <c r="U89" s="533"/>
      <c r="V89" s="533"/>
      <c r="W89" s="533"/>
      <c r="X89" s="533"/>
      <c r="Y89" s="533"/>
      <c r="Z89" s="533"/>
      <c r="AA89" s="533"/>
      <c r="AB89" s="533"/>
      <c r="AC89" s="533"/>
      <c r="AD89" s="533"/>
      <c r="AE89" s="533"/>
      <c r="AF89" s="533"/>
      <c r="AG89" s="533"/>
      <c r="AH89" s="533"/>
      <c r="AI89" s="533"/>
      <c r="AJ89" s="533"/>
      <c r="AK89" s="533"/>
      <c r="AL89" s="533"/>
      <c r="AM89" s="533"/>
      <c r="AN89" s="533"/>
      <c r="AO89" s="533"/>
    </row>
    <row r="90" spans="1:41" ht="12.95" customHeight="1" x14ac:dyDescent="0.2">
      <c r="A90" s="533"/>
      <c r="B90" s="533"/>
      <c r="C90" s="533"/>
      <c r="D90" s="594"/>
      <c r="E90" s="629"/>
      <c r="F90" s="630"/>
      <c r="G90" s="630"/>
      <c r="H90" s="629"/>
      <c r="I90" s="533"/>
      <c r="J90" s="533"/>
      <c r="K90" s="533"/>
      <c r="L90" s="532"/>
      <c r="M90" s="631"/>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row>
    <row r="91" spans="1:41" ht="12.95" customHeight="1" x14ac:dyDescent="0.2">
      <c r="A91" s="533"/>
      <c r="B91" s="533"/>
      <c r="C91" s="533"/>
      <c r="D91" s="594"/>
      <c r="E91" s="629"/>
      <c r="F91" s="630"/>
      <c r="G91" s="630"/>
      <c r="H91" s="629"/>
      <c r="I91" s="533"/>
      <c r="J91" s="533"/>
      <c r="K91" s="533"/>
      <c r="L91" s="532"/>
      <c r="M91" s="631"/>
      <c r="N91" s="533"/>
      <c r="O91" s="533"/>
      <c r="P91" s="533"/>
      <c r="Q91" s="533"/>
      <c r="R91" s="533"/>
      <c r="S91" s="533"/>
      <c r="T91" s="533"/>
      <c r="U91" s="533"/>
      <c r="V91" s="533"/>
      <c r="W91" s="533"/>
      <c r="X91" s="533"/>
      <c r="Y91" s="533"/>
      <c r="Z91" s="533"/>
      <c r="AA91" s="533"/>
      <c r="AB91" s="533"/>
      <c r="AC91" s="533"/>
      <c r="AD91" s="533"/>
      <c r="AE91" s="533"/>
      <c r="AF91" s="533"/>
      <c r="AG91" s="533"/>
      <c r="AH91" s="533"/>
      <c r="AI91" s="533"/>
      <c r="AJ91" s="533"/>
      <c r="AK91" s="533"/>
      <c r="AL91" s="533"/>
      <c r="AM91" s="533"/>
      <c r="AN91" s="533"/>
      <c r="AO91" s="533"/>
    </row>
    <row r="92" spans="1:41" ht="12.95" customHeight="1" x14ac:dyDescent="0.2">
      <c r="A92" s="533"/>
      <c r="B92" s="533"/>
      <c r="C92" s="533"/>
      <c r="D92" s="594"/>
      <c r="E92" s="629"/>
      <c r="F92" s="630"/>
      <c r="G92" s="630"/>
      <c r="H92" s="629"/>
      <c r="I92" s="533"/>
      <c r="J92" s="533"/>
      <c r="K92" s="533"/>
      <c r="L92" s="532"/>
      <c r="M92" s="631"/>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row>
    <row r="93" spans="1:41" ht="12.95" customHeight="1" x14ac:dyDescent="0.2">
      <c r="A93" s="533"/>
      <c r="B93" s="533"/>
      <c r="C93" s="533"/>
      <c r="D93" s="594"/>
      <c r="E93" s="629"/>
      <c r="F93" s="630"/>
      <c r="G93" s="630"/>
      <c r="H93" s="629"/>
      <c r="I93" s="533"/>
      <c r="J93" s="533"/>
      <c r="K93" s="533"/>
      <c r="L93" s="532"/>
      <c r="M93" s="631"/>
      <c r="N93" s="533"/>
      <c r="O93" s="533"/>
      <c r="P93" s="533"/>
      <c r="Q93" s="533"/>
      <c r="R93" s="533"/>
      <c r="S93" s="533"/>
      <c r="T93" s="533"/>
      <c r="U93" s="533"/>
      <c r="V93" s="533"/>
      <c r="W93" s="533"/>
      <c r="X93" s="533"/>
      <c r="Y93" s="533"/>
      <c r="Z93" s="533"/>
      <c r="AA93" s="533"/>
      <c r="AB93" s="533"/>
      <c r="AC93" s="533"/>
      <c r="AD93" s="533"/>
      <c r="AE93" s="533"/>
      <c r="AF93" s="533"/>
      <c r="AG93" s="533"/>
      <c r="AH93" s="533"/>
      <c r="AI93" s="533"/>
      <c r="AJ93" s="533"/>
      <c r="AK93" s="533"/>
      <c r="AL93" s="533"/>
      <c r="AM93" s="533"/>
      <c r="AN93" s="533"/>
      <c r="AO93" s="533"/>
    </row>
    <row r="94" spans="1:41" ht="12.95" customHeight="1" x14ac:dyDescent="0.2">
      <c r="A94" s="533"/>
      <c r="B94" s="533"/>
      <c r="C94" s="533"/>
      <c r="D94" s="594"/>
      <c r="E94" s="629"/>
      <c r="F94" s="630"/>
      <c r="G94" s="630"/>
      <c r="H94" s="629"/>
      <c r="I94" s="533"/>
      <c r="J94" s="533"/>
      <c r="K94" s="533"/>
      <c r="L94" s="532"/>
      <c r="M94" s="631"/>
      <c r="N94" s="533"/>
      <c r="O94" s="533"/>
      <c r="P94" s="533"/>
      <c r="Q94" s="533"/>
      <c r="R94" s="533"/>
      <c r="S94" s="533"/>
      <c r="T94" s="533"/>
      <c r="U94" s="533"/>
      <c r="V94" s="533"/>
      <c r="W94" s="533"/>
      <c r="X94" s="533"/>
      <c r="Y94" s="533"/>
      <c r="Z94" s="533"/>
      <c r="AA94" s="533"/>
      <c r="AB94" s="533"/>
      <c r="AC94" s="533"/>
      <c r="AD94" s="533"/>
      <c r="AE94" s="533"/>
      <c r="AF94" s="533"/>
      <c r="AG94" s="533"/>
      <c r="AH94" s="533"/>
      <c r="AI94" s="533"/>
      <c r="AJ94" s="533"/>
      <c r="AK94" s="533"/>
      <c r="AL94" s="533"/>
      <c r="AM94" s="533"/>
      <c r="AN94" s="533"/>
      <c r="AO94" s="533"/>
    </row>
    <row r="95" spans="1:41" ht="12.95" customHeight="1" x14ac:dyDescent="0.2">
      <c r="A95" s="533"/>
      <c r="B95" s="533"/>
      <c r="C95" s="533"/>
      <c r="D95" s="594"/>
      <c r="E95" s="629"/>
      <c r="F95" s="630"/>
      <c r="G95" s="630"/>
      <c r="H95" s="629"/>
      <c r="I95" s="533"/>
      <c r="J95" s="533"/>
      <c r="K95" s="533"/>
      <c r="L95" s="532"/>
      <c r="M95" s="631"/>
      <c r="N95" s="533"/>
      <c r="O95" s="533"/>
      <c r="P95" s="533"/>
      <c r="Q95" s="533"/>
      <c r="R95" s="533"/>
      <c r="S95" s="533"/>
      <c r="T95" s="533"/>
      <c r="U95" s="533"/>
      <c r="V95" s="533"/>
      <c r="W95" s="533"/>
      <c r="X95" s="533"/>
      <c r="Y95" s="533"/>
      <c r="Z95" s="533"/>
      <c r="AA95" s="533"/>
      <c r="AB95" s="533"/>
      <c r="AC95" s="533"/>
      <c r="AD95" s="533"/>
      <c r="AE95" s="533"/>
      <c r="AF95" s="533"/>
      <c r="AG95" s="533"/>
      <c r="AH95" s="533"/>
      <c r="AI95" s="533"/>
      <c r="AJ95" s="533"/>
      <c r="AK95" s="533"/>
      <c r="AL95" s="533"/>
      <c r="AM95" s="533"/>
      <c r="AN95" s="533"/>
      <c r="AO95" s="533"/>
    </row>
    <row r="96" spans="1:41" ht="12.95" customHeight="1" x14ac:dyDescent="0.2">
      <c r="A96" s="533"/>
      <c r="B96" s="533"/>
      <c r="C96" s="533"/>
      <c r="D96" s="594"/>
      <c r="E96" s="629"/>
      <c r="F96" s="630"/>
      <c r="G96" s="630"/>
      <c r="H96" s="629"/>
      <c r="I96" s="533"/>
      <c r="J96" s="533"/>
      <c r="K96" s="533"/>
      <c r="L96" s="532"/>
      <c r="M96" s="631"/>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row>
    <row r="97" spans="1:41" ht="12.95" customHeight="1" x14ac:dyDescent="0.2">
      <c r="A97" s="533"/>
      <c r="B97" s="533"/>
      <c r="C97" s="533"/>
      <c r="D97" s="594"/>
      <c r="E97" s="629"/>
      <c r="F97" s="630"/>
      <c r="G97" s="630"/>
      <c r="H97" s="629"/>
      <c r="I97" s="533"/>
      <c r="J97" s="533"/>
      <c r="K97" s="533"/>
      <c r="L97" s="532"/>
      <c r="M97" s="631"/>
      <c r="N97" s="533"/>
      <c r="O97" s="533"/>
      <c r="P97" s="533"/>
      <c r="Q97" s="533"/>
      <c r="R97" s="533"/>
      <c r="S97" s="533"/>
      <c r="T97" s="533"/>
      <c r="U97" s="533"/>
      <c r="V97" s="533"/>
      <c r="W97" s="533"/>
      <c r="X97" s="533"/>
      <c r="Y97" s="533"/>
      <c r="Z97" s="533"/>
      <c r="AA97" s="533"/>
      <c r="AB97" s="533"/>
      <c r="AC97" s="533"/>
      <c r="AD97" s="533"/>
      <c r="AE97" s="533"/>
      <c r="AF97" s="533"/>
      <c r="AG97" s="533"/>
      <c r="AH97" s="533"/>
      <c r="AI97" s="533"/>
      <c r="AJ97" s="533"/>
      <c r="AK97" s="533"/>
      <c r="AL97" s="533"/>
      <c r="AM97" s="533"/>
      <c r="AN97" s="533"/>
      <c r="AO97" s="533"/>
    </row>
    <row r="98" spans="1:41" ht="12.95" customHeight="1" x14ac:dyDescent="0.2">
      <c r="A98" s="533"/>
      <c r="B98" s="533"/>
      <c r="C98" s="533"/>
      <c r="D98" s="594"/>
      <c r="E98" s="629"/>
      <c r="F98" s="630"/>
      <c r="G98" s="630"/>
      <c r="H98" s="629"/>
      <c r="I98" s="533"/>
      <c r="J98" s="533"/>
      <c r="K98" s="533"/>
      <c r="L98" s="532"/>
      <c r="M98" s="631"/>
      <c r="N98" s="533"/>
      <c r="O98" s="533"/>
      <c r="P98" s="533"/>
      <c r="Q98" s="533"/>
      <c r="R98" s="533"/>
      <c r="S98" s="533"/>
      <c r="T98" s="533"/>
      <c r="U98" s="533"/>
      <c r="V98" s="533"/>
      <c r="W98" s="533"/>
      <c r="X98" s="533"/>
      <c r="Y98" s="533"/>
      <c r="Z98" s="533"/>
      <c r="AA98" s="533"/>
      <c r="AB98" s="533"/>
      <c r="AC98" s="533"/>
      <c r="AD98" s="533"/>
      <c r="AE98" s="533"/>
      <c r="AF98" s="533"/>
      <c r="AG98" s="533"/>
      <c r="AH98" s="533"/>
      <c r="AI98" s="533"/>
      <c r="AJ98" s="533"/>
      <c r="AK98" s="533"/>
      <c r="AL98" s="533"/>
      <c r="AM98" s="533"/>
      <c r="AN98" s="533"/>
      <c r="AO98" s="533"/>
    </row>
    <row r="99" spans="1:41" ht="12.95" customHeight="1" x14ac:dyDescent="0.2">
      <c r="A99" s="533"/>
      <c r="B99" s="533"/>
      <c r="C99" s="533"/>
      <c r="D99" s="594"/>
      <c r="E99" s="629"/>
      <c r="F99" s="630"/>
      <c r="G99" s="630"/>
      <c r="H99" s="629"/>
      <c r="I99" s="533"/>
      <c r="J99" s="533"/>
      <c r="K99" s="533"/>
      <c r="L99" s="532"/>
      <c r="M99" s="631"/>
      <c r="N99" s="533"/>
      <c r="O99" s="533"/>
      <c r="P99" s="533"/>
      <c r="Q99" s="533"/>
      <c r="R99" s="533"/>
      <c r="S99" s="533"/>
      <c r="T99" s="533"/>
      <c r="U99" s="533"/>
      <c r="V99" s="533"/>
      <c r="W99" s="533"/>
      <c r="X99" s="533"/>
      <c r="Y99" s="533"/>
      <c r="Z99" s="533"/>
      <c r="AA99" s="533"/>
      <c r="AB99" s="533"/>
      <c r="AC99" s="533"/>
      <c r="AD99" s="533"/>
      <c r="AE99" s="533"/>
      <c r="AF99" s="533"/>
      <c r="AG99" s="533"/>
      <c r="AH99" s="533"/>
      <c r="AI99" s="533"/>
      <c r="AJ99" s="533"/>
      <c r="AK99" s="533"/>
      <c r="AL99" s="533"/>
      <c r="AM99" s="533"/>
      <c r="AN99" s="533"/>
      <c r="AO99" s="533"/>
    </row>
    <row r="100" spans="1:41" ht="12.95" customHeight="1" x14ac:dyDescent="0.2">
      <c r="A100" s="533"/>
      <c r="B100" s="533"/>
      <c r="C100" s="533"/>
      <c r="D100" s="594"/>
      <c r="E100" s="629"/>
      <c r="F100" s="630"/>
      <c r="G100" s="630"/>
      <c r="H100" s="629"/>
      <c r="I100" s="533"/>
      <c r="J100" s="533"/>
      <c r="K100" s="533"/>
      <c r="L100" s="532"/>
      <c r="M100" s="631"/>
      <c r="N100" s="533"/>
      <c r="O100" s="533"/>
      <c r="P100" s="533"/>
      <c r="Q100" s="533"/>
      <c r="R100" s="533"/>
      <c r="S100" s="533"/>
      <c r="T100" s="533"/>
      <c r="U100" s="533"/>
      <c r="V100" s="533"/>
      <c r="W100" s="533"/>
      <c r="X100" s="533"/>
      <c r="Y100" s="533"/>
      <c r="Z100" s="533"/>
      <c r="AA100" s="533"/>
      <c r="AB100" s="533"/>
      <c r="AC100" s="533"/>
      <c r="AD100" s="533"/>
      <c r="AE100" s="533"/>
      <c r="AF100" s="533"/>
      <c r="AG100" s="533"/>
      <c r="AH100" s="533"/>
      <c r="AI100" s="533"/>
      <c r="AJ100" s="533"/>
      <c r="AK100" s="533"/>
      <c r="AL100" s="533"/>
      <c r="AM100" s="533"/>
      <c r="AN100" s="533"/>
      <c r="AO100" s="533"/>
    </row>
    <row r="101" spans="1:41" ht="12.95" customHeight="1" x14ac:dyDescent="0.2">
      <c r="A101" s="533"/>
      <c r="B101" s="533"/>
      <c r="C101" s="533"/>
      <c r="D101" s="594"/>
      <c r="E101" s="629"/>
      <c r="F101" s="630"/>
      <c r="G101" s="630"/>
      <c r="H101" s="629"/>
      <c r="I101" s="533"/>
      <c r="J101" s="533"/>
      <c r="K101" s="533"/>
      <c r="L101" s="532"/>
      <c r="M101" s="631"/>
      <c r="N101" s="533"/>
      <c r="O101" s="533"/>
      <c r="P101" s="533"/>
      <c r="Q101" s="533"/>
      <c r="R101" s="533"/>
      <c r="S101" s="533"/>
      <c r="T101" s="533"/>
      <c r="U101" s="533"/>
      <c r="V101" s="533"/>
      <c r="W101" s="533"/>
      <c r="X101" s="533"/>
      <c r="Y101" s="533"/>
      <c r="Z101" s="533"/>
      <c r="AA101" s="533"/>
      <c r="AB101" s="533"/>
      <c r="AC101" s="533"/>
      <c r="AD101" s="533"/>
      <c r="AE101" s="533"/>
      <c r="AF101" s="533"/>
      <c r="AG101" s="533"/>
      <c r="AH101" s="533"/>
      <c r="AI101" s="533"/>
      <c r="AJ101" s="533"/>
      <c r="AK101" s="533"/>
      <c r="AL101" s="533"/>
      <c r="AM101" s="533"/>
      <c r="AN101" s="533"/>
      <c r="AO101" s="533"/>
    </row>
    <row r="102" spans="1:41" ht="12.95" customHeight="1" x14ac:dyDescent="0.2">
      <c r="A102" s="533"/>
      <c r="B102" s="533"/>
      <c r="C102" s="533"/>
      <c r="D102" s="594"/>
      <c r="E102" s="629"/>
      <c r="F102" s="630"/>
      <c r="G102" s="630"/>
      <c r="H102" s="629"/>
      <c r="I102" s="533"/>
      <c r="J102" s="533"/>
      <c r="K102" s="533"/>
      <c r="L102" s="532"/>
      <c r="M102" s="631"/>
      <c r="N102" s="533"/>
      <c r="O102" s="533"/>
      <c r="P102" s="533"/>
      <c r="Q102" s="533"/>
      <c r="R102" s="533"/>
      <c r="S102" s="533"/>
      <c r="T102" s="533"/>
      <c r="U102" s="533"/>
      <c r="V102" s="533"/>
      <c r="W102" s="533"/>
      <c r="X102" s="533"/>
      <c r="Y102" s="533"/>
      <c r="Z102" s="533"/>
      <c r="AA102" s="533"/>
      <c r="AB102" s="533"/>
      <c r="AC102" s="533"/>
      <c r="AD102" s="533"/>
      <c r="AE102" s="533"/>
      <c r="AF102" s="533"/>
      <c r="AG102" s="533"/>
      <c r="AH102" s="533"/>
      <c r="AI102" s="533"/>
      <c r="AJ102" s="533"/>
      <c r="AK102" s="533"/>
      <c r="AL102" s="533"/>
      <c r="AM102" s="533"/>
      <c r="AN102" s="533"/>
      <c r="AO102" s="533"/>
    </row>
    <row r="103" spans="1:41" ht="12.95" customHeight="1" x14ac:dyDescent="0.2">
      <c r="A103" s="533"/>
      <c r="B103" s="533"/>
      <c r="C103" s="533"/>
      <c r="D103" s="594"/>
      <c r="E103" s="629"/>
      <c r="F103" s="630"/>
      <c r="G103" s="630"/>
      <c r="H103" s="629"/>
      <c r="I103" s="533"/>
      <c r="J103" s="533"/>
      <c r="K103" s="533"/>
      <c r="L103" s="532"/>
      <c r="M103" s="631"/>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row>
    <row r="104" spans="1:41" ht="12.95" customHeight="1" x14ac:dyDescent="0.2">
      <c r="A104" s="533"/>
      <c r="B104" s="533"/>
      <c r="C104" s="533"/>
      <c r="D104" s="594"/>
      <c r="E104" s="629"/>
      <c r="F104" s="630"/>
      <c r="G104" s="630"/>
      <c r="H104" s="629"/>
      <c r="I104" s="533"/>
      <c r="J104" s="533"/>
      <c r="K104" s="533"/>
      <c r="L104" s="532"/>
      <c r="M104" s="631"/>
      <c r="N104" s="533"/>
      <c r="O104" s="533"/>
      <c r="P104" s="533"/>
      <c r="Q104" s="533"/>
      <c r="R104" s="533"/>
      <c r="S104" s="533"/>
      <c r="T104" s="533"/>
      <c r="U104" s="533"/>
      <c r="V104" s="533"/>
      <c r="W104" s="533"/>
      <c r="X104" s="533"/>
      <c r="Y104" s="533"/>
      <c r="Z104" s="533"/>
      <c r="AA104" s="533"/>
      <c r="AB104" s="533"/>
      <c r="AC104" s="533"/>
      <c r="AD104" s="533"/>
      <c r="AE104" s="533"/>
      <c r="AF104" s="533"/>
      <c r="AG104" s="533"/>
      <c r="AH104" s="533"/>
      <c r="AI104" s="533"/>
      <c r="AJ104" s="533"/>
      <c r="AK104" s="533"/>
      <c r="AL104" s="533"/>
      <c r="AM104" s="533"/>
      <c r="AN104" s="533"/>
      <c r="AO104" s="533"/>
    </row>
    <row r="105" spans="1:41" ht="12.95" customHeight="1" x14ac:dyDescent="0.2">
      <c r="A105" s="533"/>
      <c r="B105" s="533"/>
      <c r="C105" s="533"/>
      <c r="D105" s="594"/>
      <c r="E105" s="629"/>
      <c r="F105" s="630"/>
      <c r="G105" s="630"/>
      <c r="H105" s="629"/>
      <c r="I105" s="533"/>
      <c r="J105" s="533"/>
      <c r="K105" s="533"/>
      <c r="L105" s="532"/>
      <c r="M105" s="631"/>
      <c r="N105" s="533"/>
      <c r="O105" s="533"/>
      <c r="P105" s="533"/>
      <c r="Q105" s="533"/>
      <c r="R105" s="533"/>
      <c r="S105" s="533"/>
      <c r="T105" s="533"/>
      <c r="U105" s="533"/>
      <c r="V105" s="533"/>
      <c r="W105" s="533"/>
      <c r="X105" s="533"/>
      <c r="Y105" s="533"/>
      <c r="Z105" s="533"/>
      <c r="AA105" s="533"/>
      <c r="AB105" s="533"/>
      <c r="AC105" s="533"/>
      <c r="AD105" s="533"/>
      <c r="AE105" s="533"/>
      <c r="AF105" s="533"/>
      <c r="AG105" s="533"/>
      <c r="AH105" s="533"/>
      <c r="AI105" s="533"/>
      <c r="AJ105" s="533"/>
      <c r="AK105" s="533"/>
      <c r="AL105" s="533"/>
      <c r="AM105" s="533"/>
      <c r="AN105" s="533"/>
      <c r="AO105" s="533"/>
    </row>
    <row r="106" spans="1:41" ht="12.95" customHeight="1" x14ac:dyDescent="0.2">
      <c r="A106" s="533"/>
      <c r="B106" s="533"/>
      <c r="C106" s="533"/>
      <c r="D106" s="594"/>
      <c r="E106" s="629"/>
      <c r="F106" s="630"/>
      <c r="G106" s="630"/>
      <c r="H106" s="629"/>
      <c r="I106" s="533"/>
      <c r="J106" s="533"/>
      <c r="K106" s="533"/>
      <c r="L106" s="532"/>
      <c r="M106" s="631"/>
      <c r="N106" s="533"/>
      <c r="O106" s="533"/>
      <c r="P106" s="533"/>
      <c r="Q106" s="533"/>
      <c r="R106" s="533"/>
      <c r="S106" s="533"/>
      <c r="T106" s="533"/>
      <c r="U106" s="533"/>
      <c r="V106" s="533"/>
      <c r="W106" s="533"/>
      <c r="X106" s="533"/>
      <c r="Y106" s="533"/>
      <c r="Z106" s="533"/>
      <c r="AA106" s="533"/>
      <c r="AB106" s="533"/>
      <c r="AC106" s="533"/>
      <c r="AD106" s="533"/>
      <c r="AE106" s="533"/>
      <c r="AF106" s="533"/>
      <c r="AG106" s="533"/>
      <c r="AH106" s="533"/>
      <c r="AI106" s="533"/>
      <c r="AJ106" s="533"/>
      <c r="AK106" s="533"/>
      <c r="AL106" s="533"/>
      <c r="AM106" s="533"/>
      <c r="AN106" s="533"/>
      <c r="AO106" s="533"/>
    </row>
    <row r="107" spans="1:41" ht="12.95" customHeight="1" x14ac:dyDescent="0.2">
      <c r="A107" s="533"/>
      <c r="B107" s="533"/>
      <c r="C107" s="533"/>
      <c r="D107" s="594"/>
      <c r="E107" s="629"/>
      <c r="F107" s="630"/>
      <c r="G107" s="630"/>
      <c r="H107" s="629"/>
      <c r="I107" s="533"/>
      <c r="J107" s="533"/>
      <c r="K107" s="533"/>
      <c r="L107" s="532"/>
      <c r="M107" s="631"/>
      <c r="N107" s="533"/>
      <c r="O107" s="533"/>
      <c r="P107" s="533"/>
      <c r="Q107" s="533"/>
      <c r="R107" s="533"/>
      <c r="S107" s="533"/>
      <c r="T107" s="533"/>
      <c r="U107" s="533"/>
      <c r="V107" s="533"/>
      <c r="W107" s="533"/>
      <c r="X107" s="533"/>
      <c r="Y107" s="533"/>
      <c r="Z107" s="533"/>
      <c r="AA107" s="533"/>
      <c r="AB107" s="533"/>
      <c r="AC107" s="533"/>
      <c r="AD107" s="533"/>
      <c r="AE107" s="533"/>
      <c r="AF107" s="533"/>
      <c r="AG107" s="533"/>
      <c r="AH107" s="533"/>
      <c r="AI107" s="533"/>
      <c r="AJ107" s="533"/>
      <c r="AK107" s="533"/>
      <c r="AL107" s="533"/>
      <c r="AM107" s="533"/>
      <c r="AN107" s="533"/>
      <c r="AO107" s="533"/>
    </row>
    <row r="108" spans="1:41" ht="12.95" customHeight="1" x14ac:dyDescent="0.2">
      <c r="A108" s="533"/>
      <c r="B108" s="533"/>
      <c r="C108" s="533"/>
      <c r="D108" s="594"/>
      <c r="E108" s="629"/>
      <c r="F108" s="630"/>
      <c r="G108" s="630"/>
      <c r="H108" s="629"/>
      <c r="I108" s="533"/>
      <c r="J108" s="533"/>
      <c r="K108" s="533"/>
      <c r="L108" s="532"/>
      <c r="M108" s="631"/>
      <c r="N108" s="533"/>
      <c r="O108" s="533"/>
      <c r="P108" s="533"/>
      <c r="Q108" s="533"/>
      <c r="R108" s="533"/>
      <c r="S108" s="533"/>
      <c r="T108" s="533"/>
      <c r="U108" s="533"/>
      <c r="V108" s="533"/>
      <c r="W108" s="533"/>
      <c r="X108" s="533"/>
      <c r="Y108" s="533"/>
      <c r="Z108" s="533"/>
      <c r="AA108" s="533"/>
      <c r="AB108" s="533"/>
      <c r="AC108" s="533"/>
      <c r="AD108" s="533"/>
      <c r="AE108" s="533"/>
      <c r="AF108" s="533"/>
      <c r="AG108" s="533"/>
      <c r="AH108" s="533"/>
      <c r="AI108" s="533"/>
      <c r="AJ108" s="533"/>
      <c r="AK108" s="533"/>
      <c r="AL108" s="533"/>
      <c r="AM108" s="533"/>
      <c r="AN108" s="533"/>
      <c r="AO108" s="533"/>
    </row>
    <row r="109" spans="1:41" ht="12.95" customHeight="1" x14ac:dyDescent="0.2">
      <c r="A109" s="533"/>
      <c r="B109" s="533"/>
      <c r="C109" s="533"/>
      <c r="D109" s="594"/>
      <c r="E109" s="629"/>
      <c r="F109" s="630"/>
      <c r="G109" s="630"/>
      <c r="H109" s="629"/>
      <c r="I109" s="533"/>
      <c r="J109" s="533"/>
      <c r="K109" s="533"/>
      <c r="L109" s="532"/>
      <c r="M109" s="631"/>
      <c r="N109" s="533"/>
      <c r="O109" s="533"/>
      <c r="P109" s="533"/>
      <c r="Q109" s="533"/>
      <c r="R109" s="533"/>
      <c r="S109" s="533"/>
      <c r="T109" s="533"/>
      <c r="U109" s="533"/>
      <c r="V109" s="533"/>
      <c r="W109" s="533"/>
      <c r="X109" s="533"/>
      <c r="Y109" s="533"/>
      <c r="Z109" s="533"/>
      <c r="AA109" s="533"/>
      <c r="AB109" s="533"/>
      <c r="AC109" s="533"/>
      <c r="AD109" s="533"/>
      <c r="AE109" s="533"/>
      <c r="AF109" s="533"/>
      <c r="AG109" s="533"/>
      <c r="AH109" s="533"/>
      <c r="AI109" s="533"/>
      <c r="AJ109" s="533"/>
      <c r="AK109" s="533"/>
      <c r="AL109" s="533"/>
      <c r="AM109" s="533"/>
      <c r="AN109" s="533"/>
      <c r="AO109" s="533"/>
    </row>
    <row r="110" spans="1:41" ht="12.95" customHeight="1" x14ac:dyDescent="0.2">
      <c r="A110" s="533"/>
      <c r="B110" s="533"/>
      <c r="C110" s="533"/>
      <c r="D110" s="594"/>
      <c r="E110" s="629"/>
      <c r="F110" s="630"/>
      <c r="G110" s="630"/>
      <c r="H110" s="629"/>
      <c r="I110" s="533"/>
      <c r="J110" s="533"/>
      <c r="K110" s="533"/>
      <c r="L110" s="532"/>
      <c r="M110" s="631"/>
      <c r="N110" s="533"/>
      <c r="O110" s="533"/>
      <c r="P110" s="533"/>
      <c r="Q110" s="533"/>
      <c r="R110" s="533"/>
      <c r="S110" s="533"/>
      <c r="T110" s="533"/>
      <c r="U110" s="533"/>
      <c r="V110" s="533"/>
      <c r="W110" s="533"/>
      <c r="X110" s="533"/>
      <c r="Y110" s="533"/>
      <c r="Z110" s="533"/>
      <c r="AA110" s="533"/>
      <c r="AB110" s="533"/>
      <c r="AC110" s="533"/>
      <c r="AD110" s="533"/>
      <c r="AE110" s="533"/>
      <c r="AF110" s="533"/>
      <c r="AG110" s="533"/>
      <c r="AH110" s="533"/>
      <c r="AI110" s="533"/>
      <c r="AJ110" s="533"/>
      <c r="AK110" s="533"/>
      <c r="AL110" s="533"/>
      <c r="AM110" s="533"/>
      <c r="AN110" s="533"/>
      <c r="AO110" s="533"/>
    </row>
    <row r="111" spans="1:41" ht="12.95" customHeight="1" x14ac:dyDescent="0.2">
      <c r="A111" s="533"/>
      <c r="B111" s="533"/>
      <c r="C111" s="533"/>
      <c r="D111" s="594"/>
      <c r="E111" s="629"/>
      <c r="F111" s="630"/>
      <c r="G111" s="630"/>
      <c r="H111" s="629"/>
      <c r="I111" s="533"/>
      <c r="J111" s="533"/>
      <c r="K111" s="533"/>
      <c r="L111" s="532"/>
      <c r="M111" s="631"/>
      <c r="N111" s="533"/>
      <c r="O111" s="533"/>
      <c r="P111" s="533"/>
      <c r="Q111" s="533"/>
      <c r="R111" s="533"/>
      <c r="S111" s="533"/>
      <c r="T111" s="533"/>
      <c r="U111" s="533"/>
      <c r="V111" s="533"/>
      <c r="W111" s="533"/>
      <c r="X111" s="533"/>
      <c r="Y111" s="533"/>
      <c r="Z111" s="533"/>
      <c r="AA111" s="533"/>
      <c r="AB111" s="533"/>
      <c r="AC111" s="533"/>
      <c r="AD111" s="533"/>
      <c r="AE111" s="533"/>
      <c r="AF111" s="533"/>
      <c r="AG111" s="533"/>
      <c r="AH111" s="533"/>
      <c r="AI111" s="533"/>
      <c r="AJ111" s="533"/>
      <c r="AK111" s="533"/>
      <c r="AL111" s="533"/>
      <c r="AM111" s="533"/>
      <c r="AN111" s="533"/>
      <c r="AO111" s="533"/>
    </row>
    <row r="112" spans="1:41" ht="12.95" customHeight="1" x14ac:dyDescent="0.2">
      <c r="A112" s="533"/>
      <c r="B112" s="533"/>
      <c r="C112" s="533"/>
      <c r="D112" s="594"/>
      <c r="E112" s="629"/>
      <c r="F112" s="630"/>
      <c r="G112" s="630"/>
      <c r="H112" s="629"/>
      <c r="I112" s="533"/>
      <c r="J112" s="533"/>
      <c r="K112" s="533"/>
      <c r="L112" s="532"/>
      <c r="M112" s="631"/>
      <c r="N112" s="533"/>
      <c r="O112" s="533"/>
      <c r="P112" s="533"/>
      <c r="Q112" s="533"/>
      <c r="R112" s="533"/>
      <c r="S112" s="533"/>
      <c r="T112" s="533"/>
      <c r="U112" s="533"/>
      <c r="V112" s="533"/>
      <c r="W112" s="533"/>
      <c r="X112" s="533"/>
      <c r="Y112" s="533"/>
      <c r="Z112" s="533"/>
      <c r="AA112" s="533"/>
      <c r="AB112" s="533"/>
      <c r="AC112" s="533"/>
      <c r="AD112" s="533"/>
      <c r="AE112" s="533"/>
      <c r="AF112" s="533"/>
      <c r="AG112" s="533"/>
      <c r="AH112" s="533"/>
      <c r="AI112" s="533"/>
      <c r="AJ112" s="533"/>
      <c r="AK112" s="533"/>
      <c r="AL112" s="533"/>
      <c r="AM112" s="533"/>
      <c r="AN112" s="533"/>
      <c r="AO112" s="533"/>
    </row>
    <row r="113" spans="1:41" ht="12.95" customHeight="1" x14ac:dyDescent="0.2">
      <c r="A113" s="533"/>
      <c r="B113" s="533"/>
      <c r="C113" s="533"/>
      <c r="D113" s="594"/>
      <c r="E113" s="629"/>
      <c r="F113" s="630"/>
      <c r="G113" s="630"/>
      <c r="H113" s="629"/>
      <c r="I113" s="533"/>
      <c r="J113" s="533"/>
      <c r="K113" s="533"/>
      <c r="L113" s="532"/>
      <c r="M113" s="631"/>
      <c r="N113" s="533"/>
      <c r="O113" s="533"/>
      <c r="P113" s="533"/>
      <c r="Q113" s="533"/>
      <c r="R113" s="533"/>
      <c r="S113" s="533"/>
      <c r="T113" s="533"/>
      <c r="U113" s="533"/>
      <c r="V113" s="533"/>
      <c r="W113" s="533"/>
      <c r="X113" s="533"/>
      <c r="Y113" s="533"/>
      <c r="Z113" s="533"/>
      <c r="AA113" s="533"/>
      <c r="AB113" s="533"/>
      <c r="AC113" s="533"/>
      <c r="AD113" s="533"/>
      <c r="AE113" s="533"/>
      <c r="AF113" s="533"/>
      <c r="AG113" s="533"/>
      <c r="AH113" s="533"/>
      <c r="AI113" s="533"/>
      <c r="AJ113" s="533"/>
      <c r="AK113" s="533"/>
      <c r="AL113" s="533"/>
      <c r="AM113" s="533"/>
      <c r="AN113" s="533"/>
      <c r="AO113" s="533"/>
    </row>
    <row r="114" spans="1:41" ht="12.95" customHeight="1" x14ac:dyDescent="0.2">
      <c r="A114" s="533"/>
      <c r="B114" s="533"/>
      <c r="C114" s="533"/>
      <c r="D114" s="594"/>
      <c r="E114" s="629"/>
      <c r="F114" s="630"/>
      <c r="G114" s="630"/>
      <c r="H114" s="629"/>
      <c r="I114" s="533"/>
      <c r="J114" s="533"/>
      <c r="K114" s="533"/>
      <c r="L114" s="532"/>
      <c r="M114" s="631"/>
      <c r="N114" s="533"/>
      <c r="O114" s="533"/>
      <c r="P114" s="533"/>
      <c r="Q114" s="533"/>
      <c r="R114" s="533"/>
      <c r="S114" s="533"/>
      <c r="T114" s="533"/>
      <c r="U114" s="533"/>
      <c r="V114" s="533"/>
      <c r="W114" s="533"/>
      <c r="X114" s="533"/>
      <c r="Y114" s="533"/>
      <c r="Z114" s="533"/>
      <c r="AA114" s="533"/>
      <c r="AB114" s="533"/>
      <c r="AC114" s="533"/>
      <c r="AD114" s="533"/>
      <c r="AE114" s="533"/>
      <c r="AF114" s="533"/>
      <c r="AG114" s="533"/>
      <c r="AH114" s="533"/>
      <c r="AI114" s="533"/>
      <c r="AJ114" s="533"/>
      <c r="AK114" s="533"/>
      <c r="AL114" s="533"/>
      <c r="AM114" s="533"/>
      <c r="AN114" s="533"/>
      <c r="AO114" s="533"/>
    </row>
    <row r="115" spans="1:41" ht="12.95" customHeight="1" x14ac:dyDescent="0.2">
      <c r="A115" s="533"/>
      <c r="B115" s="533"/>
      <c r="C115" s="533"/>
      <c r="D115" s="594"/>
      <c r="E115" s="629"/>
      <c r="F115" s="630"/>
      <c r="G115" s="630"/>
      <c r="H115" s="629"/>
      <c r="I115" s="533"/>
      <c r="J115" s="533"/>
      <c r="K115" s="533"/>
      <c r="L115" s="532"/>
      <c r="M115" s="631"/>
      <c r="N115" s="533"/>
      <c r="O115" s="533"/>
      <c r="P115" s="533"/>
      <c r="Q115" s="533"/>
      <c r="R115" s="533"/>
      <c r="S115" s="533"/>
      <c r="T115" s="533"/>
      <c r="U115" s="533"/>
      <c r="V115" s="533"/>
      <c r="W115" s="533"/>
      <c r="X115" s="533"/>
      <c r="Y115" s="533"/>
      <c r="Z115" s="533"/>
      <c r="AA115" s="533"/>
      <c r="AB115" s="533"/>
      <c r="AC115" s="533"/>
      <c r="AD115" s="533"/>
      <c r="AE115" s="533"/>
      <c r="AF115" s="533"/>
      <c r="AG115" s="533"/>
      <c r="AH115" s="533"/>
      <c r="AI115" s="533"/>
      <c r="AJ115" s="533"/>
      <c r="AK115" s="533"/>
      <c r="AL115" s="533"/>
      <c r="AM115" s="533"/>
      <c r="AN115" s="533"/>
      <c r="AO115" s="533"/>
    </row>
    <row r="116" spans="1:41" ht="12.95" customHeight="1" x14ac:dyDescent="0.2">
      <c r="A116" s="533"/>
      <c r="B116" s="533"/>
      <c r="C116" s="533"/>
      <c r="D116" s="594"/>
      <c r="E116" s="629"/>
      <c r="F116" s="630"/>
      <c r="G116" s="630"/>
      <c r="H116" s="629"/>
      <c r="I116" s="533"/>
      <c r="J116" s="533"/>
      <c r="K116" s="533"/>
      <c r="L116" s="532"/>
      <c r="M116" s="631"/>
      <c r="N116" s="533"/>
      <c r="O116" s="533"/>
      <c r="P116" s="533"/>
      <c r="Q116" s="533"/>
      <c r="R116" s="533"/>
      <c r="S116" s="533"/>
      <c r="T116" s="533"/>
      <c r="U116" s="533"/>
      <c r="V116" s="533"/>
      <c r="W116" s="533"/>
      <c r="X116" s="533"/>
      <c r="Y116" s="533"/>
      <c r="Z116" s="533"/>
      <c r="AA116" s="533"/>
      <c r="AB116" s="533"/>
      <c r="AC116" s="533"/>
      <c r="AD116" s="533"/>
      <c r="AE116" s="533"/>
      <c r="AF116" s="533"/>
      <c r="AG116" s="533"/>
      <c r="AH116" s="533"/>
      <c r="AI116" s="533"/>
      <c r="AJ116" s="533"/>
      <c r="AK116" s="533"/>
      <c r="AL116" s="533"/>
      <c r="AM116" s="533"/>
      <c r="AN116" s="533"/>
      <c r="AO116" s="533"/>
    </row>
    <row r="117" spans="1:41" ht="12.95" customHeight="1" x14ac:dyDescent="0.2">
      <c r="A117" s="533"/>
      <c r="B117" s="533"/>
      <c r="C117" s="533"/>
      <c r="D117" s="594"/>
      <c r="E117" s="629"/>
      <c r="F117" s="630"/>
      <c r="G117" s="630"/>
      <c r="H117" s="629"/>
      <c r="I117" s="533"/>
      <c r="J117" s="533"/>
      <c r="K117" s="533"/>
      <c r="L117" s="532"/>
      <c r="M117" s="631"/>
      <c r="N117" s="533"/>
      <c r="O117" s="533"/>
      <c r="P117" s="533"/>
      <c r="Q117" s="533"/>
      <c r="R117" s="533"/>
      <c r="S117" s="533"/>
      <c r="T117" s="533"/>
      <c r="U117" s="533"/>
      <c r="V117" s="533"/>
      <c r="W117" s="533"/>
      <c r="X117" s="533"/>
      <c r="Y117" s="533"/>
      <c r="Z117" s="533"/>
      <c r="AA117" s="533"/>
      <c r="AB117" s="533"/>
      <c r="AC117" s="533"/>
      <c r="AD117" s="533"/>
      <c r="AE117" s="533"/>
      <c r="AF117" s="533"/>
      <c r="AG117" s="533"/>
      <c r="AH117" s="533"/>
      <c r="AI117" s="533"/>
      <c r="AJ117" s="533"/>
      <c r="AK117" s="533"/>
      <c r="AL117" s="533"/>
      <c r="AM117" s="533"/>
      <c r="AN117" s="533"/>
      <c r="AO117" s="533"/>
    </row>
    <row r="118" spans="1:41" ht="12.95" customHeight="1" x14ac:dyDescent="0.2">
      <c r="A118" s="533"/>
      <c r="B118" s="533"/>
      <c r="C118" s="533"/>
      <c r="D118" s="594"/>
      <c r="E118" s="629"/>
      <c r="F118" s="630"/>
      <c r="G118" s="630"/>
      <c r="H118" s="629"/>
      <c r="I118" s="533"/>
      <c r="J118" s="533"/>
      <c r="K118" s="533"/>
      <c r="L118" s="532"/>
      <c r="M118" s="631"/>
      <c r="N118" s="533"/>
      <c r="O118" s="533"/>
      <c r="P118" s="533"/>
      <c r="Q118" s="533"/>
      <c r="R118" s="533"/>
      <c r="S118" s="533"/>
      <c r="T118" s="533"/>
      <c r="U118" s="533"/>
      <c r="V118" s="533"/>
      <c r="W118" s="533"/>
      <c r="X118" s="533"/>
      <c r="Y118" s="533"/>
      <c r="Z118" s="533"/>
      <c r="AA118" s="533"/>
      <c r="AB118" s="533"/>
      <c r="AC118" s="533"/>
      <c r="AD118" s="533"/>
      <c r="AE118" s="533"/>
      <c r="AF118" s="533"/>
      <c r="AG118" s="533"/>
      <c r="AH118" s="533"/>
      <c r="AI118" s="533"/>
      <c r="AJ118" s="533"/>
      <c r="AK118" s="533"/>
      <c r="AL118" s="533"/>
      <c r="AM118" s="533"/>
      <c r="AN118" s="533"/>
      <c r="AO118" s="533"/>
    </row>
    <row r="119" spans="1:41" ht="12.95" customHeight="1" x14ac:dyDescent="0.2">
      <c r="A119" s="533"/>
      <c r="B119" s="533"/>
      <c r="C119" s="533"/>
      <c r="D119" s="594"/>
      <c r="E119" s="629"/>
      <c r="F119" s="630"/>
      <c r="G119" s="630"/>
      <c r="H119" s="629"/>
      <c r="I119" s="533"/>
      <c r="J119" s="533"/>
      <c r="K119" s="533"/>
      <c r="L119" s="532"/>
      <c r="M119" s="631"/>
      <c r="N119" s="533"/>
      <c r="O119" s="533"/>
      <c r="P119" s="533"/>
      <c r="Q119" s="533"/>
      <c r="R119" s="533"/>
      <c r="S119" s="533"/>
      <c r="T119" s="533"/>
      <c r="U119" s="533"/>
      <c r="V119" s="533"/>
      <c r="W119" s="533"/>
      <c r="X119" s="533"/>
      <c r="Y119" s="533"/>
      <c r="Z119" s="533"/>
      <c r="AA119" s="533"/>
      <c r="AB119" s="533"/>
      <c r="AC119" s="533"/>
      <c r="AD119" s="533"/>
      <c r="AE119" s="533"/>
      <c r="AF119" s="533"/>
      <c r="AG119" s="533"/>
      <c r="AH119" s="533"/>
      <c r="AI119" s="533"/>
      <c r="AJ119" s="533"/>
      <c r="AK119" s="533"/>
      <c r="AL119" s="533"/>
      <c r="AM119" s="533"/>
      <c r="AN119" s="533"/>
      <c r="AO119" s="533"/>
    </row>
    <row r="120" spans="1:41" ht="12.95" customHeight="1" x14ac:dyDescent="0.2">
      <c r="A120" s="533"/>
      <c r="B120" s="533"/>
      <c r="C120" s="533"/>
      <c r="D120" s="594"/>
      <c r="E120" s="629"/>
      <c r="F120" s="630"/>
      <c r="G120" s="630"/>
      <c r="H120" s="629"/>
      <c r="I120" s="533"/>
      <c r="J120" s="533"/>
      <c r="K120" s="533"/>
      <c r="L120" s="532"/>
      <c r="M120" s="631"/>
      <c r="N120" s="533"/>
      <c r="O120" s="533"/>
      <c r="P120" s="533"/>
      <c r="Q120" s="533"/>
      <c r="R120" s="533"/>
      <c r="S120" s="533"/>
      <c r="T120" s="533"/>
      <c r="U120" s="533"/>
      <c r="V120" s="533"/>
      <c r="W120" s="533"/>
      <c r="X120" s="533"/>
      <c r="Y120" s="533"/>
      <c r="Z120" s="533"/>
      <c r="AA120" s="533"/>
      <c r="AB120" s="533"/>
      <c r="AC120" s="533"/>
      <c r="AD120" s="533"/>
      <c r="AE120" s="533"/>
      <c r="AF120" s="533"/>
      <c r="AG120" s="533"/>
      <c r="AH120" s="533"/>
      <c r="AI120" s="533"/>
      <c r="AJ120" s="533"/>
      <c r="AK120" s="533"/>
      <c r="AL120" s="533"/>
      <c r="AM120" s="533"/>
      <c r="AN120" s="533"/>
      <c r="AO120" s="533"/>
    </row>
    <row r="121" spans="1:41" ht="12.95" customHeight="1" x14ac:dyDescent="0.2">
      <c r="A121" s="533"/>
      <c r="B121" s="533"/>
      <c r="C121" s="533"/>
      <c r="D121" s="594"/>
      <c r="E121" s="629"/>
      <c r="F121" s="630"/>
      <c r="G121" s="630"/>
      <c r="H121" s="629"/>
      <c r="I121" s="533"/>
      <c r="J121" s="533"/>
      <c r="K121" s="533"/>
      <c r="L121" s="532"/>
      <c r="M121" s="631"/>
      <c r="N121" s="533"/>
      <c r="O121" s="533"/>
      <c r="P121" s="533"/>
      <c r="Q121" s="533"/>
      <c r="R121" s="533"/>
      <c r="S121" s="533"/>
      <c r="T121" s="533"/>
      <c r="U121" s="533"/>
      <c r="V121" s="533"/>
      <c r="W121" s="533"/>
      <c r="X121" s="533"/>
      <c r="Y121" s="533"/>
      <c r="Z121" s="533"/>
      <c r="AA121" s="533"/>
      <c r="AB121" s="533"/>
      <c r="AC121" s="533"/>
      <c r="AD121" s="533"/>
      <c r="AE121" s="533"/>
      <c r="AF121" s="533"/>
      <c r="AG121" s="533"/>
      <c r="AH121" s="533"/>
      <c r="AI121" s="533"/>
      <c r="AJ121" s="533"/>
      <c r="AK121" s="533"/>
      <c r="AL121" s="533"/>
      <c r="AM121" s="533"/>
      <c r="AN121" s="533"/>
      <c r="AO121" s="533"/>
    </row>
    <row r="122" spans="1:41" ht="12.95" customHeight="1" x14ac:dyDescent="0.2">
      <c r="A122" s="533"/>
      <c r="B122" s="533"/>
      <c r="C122" s="533"/>
      <c r="D122" s="594"/>
      <c r="E122" s="629"/>
      <c r="F122" s="630"/>
      <c r="G122" s="630"/>
      <c r="H122" s="629"/>
      <c r="I122" s="533"/>
      <c r="J122" s="533"/>
      <c r="K122" s="533"/>
      <c r="L122" s="532"/>
      <c r="M122" s="631"/>
      <c r="N122" s="533"/>
      <c r="O122" s="533"/>
      <c r="P122" s="533"/>
      <c r="Q122" s="533"/>
      <c r="R122" s="533"/>
      <c r="S122" s="533"/>
      <c r="T122" s="533"/>
      <c r="U122" s="533"/>
      <c r="V122" s="533"/>
      <c r="W122" s="533"/>
      <c r="X122" s="533"/>
      <c r="Y122" s="533"/>
      <c r="Z122" s="533"/>
      <c r="AA122" s="533"/>
      <c r="AB122" s="533"/>
      <c r="AC122" s="533"/>
      <c r="AD122" s="533"/>
      <c r="AE122" s="533"/>
      <c r="AF122" s="533"/>
      <c r="AG122" s="533"/>
      <c r="AH122" s="533"/>
      <c r="AI122" s="533"/>
      <c r="AJ122" s="533"/>
      <c r="AK122" s="533"/>
      <c r="AL122" s="533"/>
      <c r="AM122" s="533"/>
      <c r="AN122" s="533"/>
      <c r="AO122" s="533"/>
    </row>
    <row r="123" spans="1:41" ht="12.95" customHeight="1" x14ac:dyDescent="0.2">
      <c r="A123" s="533"/>
      <c r="B123" s="533"/>
      <c r="C123" s="533"/>
      <c r="D123" s="594"/>
      <c r="E123" s="629"/>
      <c r="F123" s="630"/>
      <c r="G123" s="630"/>
      <c r="H123" s="629"/>
      <c r="I123" s="533"/>
      <c r="J123" s="533"/>
      <c r="K123" s="533"/>
      <c r="L123" s="532"/>
      <c r="M123" s="631"/>
      <c r="N123" s="533"/>
      <c r="O123" s="533"/>
      <c r="P123" s="533"/>
      <c r="Q123" s="533"/>
      <c r="R123" s="533"/>
      <c r="S123" s="533"/>
      <c r="T123" s="533"/>
      <c r="U123" s="533"/>
      <c r="V123" s="533"/>
      <c r="W123" s="533"/>
      <c r="X123" s="533"/>
      <c r="Y123" s="533"/>
      <c r="Z123" s="533"/>
      <c r="AA123" s="533"/>
      <c r="AB123" s="533"/>
      <c r="AC123" s="533"/>
      <c r="AD123" s="533"/>
      <c r="AE123" s="533"/>
      <c r="AF123" s="533"/>
      <c r="AG123" s="533"/>
      <c r="AH123" s="533"/>
      <c r="AI123" s="533"/>
      <c r="AJ123" s="533"/>
      <c r="AK123" s="533"/>
      <c r="AL123" s="533"/>
      <c r="AM123" s="533"/>
      <c r="AN123" s="533"/>
      <c r="AO123" s="533"/>
    </row>
    <row r="124" spans="1:41" ht="12.95" customHeight="1" x14ac:dyDescent="0.2">
      <c r="A124" s="533"/>
      <c r="B124" s="533"/>
      <c r="C124" s="533"/>
      <c r="D124" s="594"/>
      <c r="E124" s="629"/>
      <c r="F124" s="630"/>
      <c r="G124" s="630"/>
      <c r="H124" s="629"/>
      <c r="I124" s="533"/>
      <c r="J124" s="533"/>
      <c r="K124" s="533"/>
      <c r="L124" s="532"/>
      <c r="M124" s="631"/>
      <c r="N124" s="533"/>
      <c r="O124" s="533"/>
      <c r="P124" s="533"/>
      <c r="Q124" s="533"/>
      <c r="R124" s="533"/>
      <c r="S124" s="533"/>
      <c r="T124" s="533"/>
      <c r="U124" s="533"/>
      <c r="V124" s="533"/>
      <c r="W124" s="533"/>
      <c r="X124" s="533"/>
      <c r="Y124" s="533"/>
      <c r="Z124" s="533"/>
      <c r="AA124" s="533"/>
      <c r="AB124" s="533"/>
      <c r="AC124" s="533"/>
      <c r="AD124" s="533"/>
      <c r="AE124" s="533"/>
      <c r="AF124" s="533"/>
      <c r="AG124" s="533"/>
      <c r="AH124" s="533"/>
      <c r="AI124" s="533"/>
      <c r="AJ124" s="533"/>
      <c r="AK124" s="533"/>
      <c r="AL124" s="533"/>
      <c r="AM124" s="533"/>
      <c r="AN124" s="533"/>
      <c r="AO124" s="533"/>
    </row>
    <row r="125" spans="1:41" ht="12.95" customHeight="1" x14ac:dyDescent="0.2">
      <c r="A125" s="533"/>
      <c r="B125" s="533"/>
      <c r="C125" s="533"/>
      <c r="D125" s="594"/>
      <c r="E125" s="629"/>
      <c r="F125" s="630"/>
      <c r="G125" s="630"/>
      <c r="H125" s="629"/>
      <c r="I125" s="533"/>
      <c r="J125" s="533"/>
      <c r="K125" s="533"/>
      <c r="L125" s="532"/>
      <c r="M125" s="631"/>
      <c r="N125" s="533"/>
      <c r="O125" s="533"/>
      <c r="P125" s="533"/>
      <c r="Q125" s="533"/>
      <c r="R125" s="533"/>
      <c r="S125" s="533"/>
      <c r="T125" s="533"/>
      <c r="U125" s="533"/>
      <c r="V125" s="533"/>
      <c r="W125" s="533"/>
      <c r="X125" s="533"/>
      <c r="Y125" s="533"/>
      <c r="Z125" s="533"/>
      <c r="AA125" s="533"/>
      <c r="AB125" s="533"/>
      <c r="AC125" s="533"/>
      <c r="AD125" s="533"/>
      <c r="AE125" s="533"/>
      <c r="AF125" s="533"/>
      <c r="AG125" s="533"/>
      <c r="AH125" s="533"/>
      <c r="AI125" s="533"/>
      <c r="AJ125" s="533"/>
      <c r="AK125" s="533"/>
      <c r="AL125" s="533"/>
      <c r="AM125" s="533"/>
      <c r="AN125" s="533"/>
      <c r="AO125" s="533"/>
    </row>
    <row r="126" spans="1:41" ht="12.95" customHeight="1" x14ac:dyDescent="0.2">
      <c r="A126" s="533"/>
      <c r="B126" s="533"/>
      <c r="C126" s="533"/>
      <c r="D126" s="594"/>
      <c r="E126" s="629"/>
      <c r="F126" s="630"/>
      <c r="G126" s="630"/>
      <c r="H126" s="629"/>
      <c r="I126" s="533"/>
      <c r="J126" s="533"/>
      <c r="K126" s="533"/>
      <c r="L126" s="532"/>
      <c r="M126" s="631"/>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c r="AO126" s="533"/>
    </row>
    <row r="127" spans="1:41" ht="12.95" customHeight="1" x14ac:dyDescent="0.2">
      <c r="A127" s="533"/>
      <c r="B127" s="533"/>
      <c r="C127" s="533"/>
      <c r="D127" s="594"/>
      <c r="E127" s="629"/>
      <c r="F127" s="630"/>
      <c r="G127" s="630"/>
      <c r="H127" s="629"/>
      <c r="I127" s="533"/>
      <c r="J127" s="533"/>
      <c r="K127" s="533"/>
      <c r="L127" s="532"/>
      <c r="M127" s="631"/>
      <c r="N127" s="533"/>
      <c r="O127" s="533"/>
      <c r="P127" s="533"/>
      <c r="Q127" s="533"/>
      <c r="R127" s="533"/>
      <c r="S127" s="533"/>
      <c r="T127" s="533"/>
      <c r="U127" s="533"/>
      <c r="V127" s="533"/>
      <c r="W127" s="533"/>
      <c r="X127" s="533"/>
      <c r="Y127" s="533"/>
      <c r="Z127" s="533"/>
      <c r="AA127" s="533"/>
      <c r="AB127" s="533"/>
      <c r="AC127" s="533"/>
      <c r="AD127" s="533"/>
      <c r="AE127" s="533"/>
      <c r="AF127" s="533"/>
      <c r="AG127" s="533"/>
      <c r="AH127" s="533"/>
      <c r="AI127" s="533"/>
      <c r="AJ127" s="533"/>
      <c r="AK127" s="533"/>
      <c r="AL127" s="533"/>
      <c r="AM127" s="533"/>
      <c r="AN127" s="533"/>
      <c r="AO127" s="533"/>
    </row>
    <row r="128" spans="1:41" ht="12.95" customHeight="1" x14ac:dyDescent="0.2">
      <c r="A128" s="533"/>
      <c r="B128" s="533"/>
      <c r="C128" s="533"/>
      <c r="D128" s="594"/>
      <c r="E128" s="629"/>
      <c r="F128" s="630"/>
      <c r="G128" s="630"/>
      <c r="H128" s="629"/>
      <c r="I128" s="533"/>
      <c r="J128" s="533"/>
      <c r="K128" s="533"/>
      <c r="L128" s="532"/>
      <c r="M128" s="631"/>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c r="AK128" s="533"/>
      <c r="AL128" s="533"/>
      <c r="AM128" s="533"/>
      <c r="AN128" s="533"/>
      <c r="AO128" s="533"/>
    </row>
    <row r="129" spans="1:41" ht="12.95" customHeight="1" x14ac:dyDescent="0.2">
      <c r="A129" s="533"/>
      <c r="B129" s="533"/>
      <c r="C129" s="533"/>
      <c r="D129" s="594"/>
      <c r="E129" s="629"/>
      <c r="F129" s="630"/>
      <c r="G129" s="630"/>
      <c r="H129" s="629"/>
      <c r="I129" s="533"/>
      <c r="J129" s="533"/>
      <c r="K129" s="533"/>
      <c r="L129" s="532"/>
      <c r="M129" s="631"/>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row>
    <row r="130" spans="1:41" ht="12.95" customHeight="1" x14ac:dyDescent="0.2">
      <c r="A130" s="533"/>
      <c r="B130" s="533"/>
      <c r="C130" s="533"/>
      <c r="D130" s="594"/>
      <c r="E130" s="629"/>
      <c r="F130" s="630"/>
      <c r="G130" s="630"/>
      <c r="H130" s="629"/>
      <c r="I130" s="533"/>
      <c r="J130" s="533"/>
      <c r="K130" s="533"/>
      <c r="L130" s="532"/>
      <c r="M130" s="631"/>
      <c r="N130" s="533"/>
      <c r="O130" s="533"/>
      <c r="P130" s="533"/>
      <c r="Q130" s="533"/>
      <c r="R130" s="533"/>
      <c r="S130" s="533"/>
      <c r="T130" s="533"/>
      <c r="U130" s="533"/>
      <c r="V130" s="533"/>
      <c r="W130" s="533"/>
      <c r="X130" s="533"/>
      <c r="Y130" s="533"/>
      <c r="Z130" s="533"/>
      <c r="AA130" s="533"/>
      <c r="AB130" s="533"/>
      <c r="AC130" s="533"/>
      <c r="AD130" s="533"/>
      <c r="AE130" s="533"/>
      <c r="AF130" s="533"/>
      <c r="AG130" s="533"/>
      <c r="AH130" s="533"/>
      <c r="AI130" s="533"/>
      <c r="AJ130" s="533"/>
      <c r="AK130" s="533"/>
      <c r="AL130" s="533"/>
      <c r="AM130" s="533"/>
      <c r="AN130" s="533"/>
      <c r="AO130" s="533"/>
    </row>
    <row r="131" spans="1:41" ht="12.95" customHeight="1" x14ac:dyDescent="0.2">
      <c r="A131" s="533"/>
      <c r="B131" s="533"/>
      <c r="C131" s="533"/>
      <c r="D131" s="594"/>
      <c r="E131" s="629"/>
      <c r="F131" s="630"/>
      <c r="G131" s="630"/>
      <c r="H131" s="629"/>
      <c r="I131" s="533"/>
      <c r="J131" s="533"/>
      <c r="K131" s="533"/>
      <c r="L131" s="532"/>
      <c r="M131" s="631"/>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row>
    <row r="132" spans="1:41" ht="12.95" customHeight="1" x14ac:dyDescent="0.2">
      <c r="A132" s="533"/>
      <c r="B132" s="533"/>
      <c r="C132" s="533"/>
      <c r="D132" s="594"/>
      <c r="E132" s="629"/>
      <c r="F132" s="630"/>
      <c r="G132" s="630"/>
      <c r="H132" s="629"/>
      <c r="I132" s="533"/>
      <c r="J132" s="533"/>
      <c r="K132" s="533"/>
      <c r="L132" s="532"/>
      <c r="M132" s="631"/>
      <c r="N132" s="533"/>
      <c r="O132" s="533"/>
      <c r="P132" s="533"/>
      <c r="Q132" s="533"/>
      <c r="R132" s="533"/>
      <c r="S132" s="533"/>
      <c r="T132" s="533"/>
      <c r="U132" s="533"/>
      <c r="V132" s="533"/>
      <c r="W132" s="533"/>
      <c r="X132" s="533"/>
      <c r="Y132" s="533"/>
      <c r="Z132" s="533"/>
      <c r="AA132" s="533"/>
      <c r="AB132" s="533"/>
      <c r="AC132" s="533"/>
      <c r="AD132" s="533"/>
      <c r="AE132" s="533"/>
      <c r="AF132" s="533"/>
      <c r="AG132" s="533"/>
      <c r="AH132" s="533"/>
      <c r="AI132" s="533"/>
      <c r="AJ132" s="533"/>
      <c r="AK132" s="533"/>
      <c r="AL132" s="533"/>
      <c r="AM132" s="533"/>
      <c r="AN132" s="533"/>
      <c r="AO132" s="533"/>
    </row>
    <row r="133" spans="1:41" ht="12.95" customHeight="1" x14ac:dyDescent="0.2">
      <c r="A133" s="533"/>
      <c r="B133" s="533"/>
      <c r="C133" s="533"/>
      <c r="D133" s="594"/>
      <c r="E133" s="629"/>
      <c r="F133" s="630"/>
      <c r="G133" s="630"/>
      <c r="H133" s="629"/>
      <c r="I133" s="533"/>
      <c r="J133" s="533"/>
      <c r="K133" s="533"/>
      <c r="L133" s="532"/>
      <c r="M133" s="631"/>
      <c r="N133" s="533"/>
      <c r="O133" s="533"/>
      <c r="P133" s="533"/>
      <c r="Q133" s="533"/>
      <c r="R133" s="533"/>
      <c r="S133" s="533"/>
      <c r="T133" s="533"/>
      <c r="U133" s="533"/>
      <c r="V133" s="533"/>
      <c r="W133" s="533"/>
      <c r="X133" s="533"/>
      <c r="Y133" s="533"/>
      <c r="Z133" s="533"/>
      <c r="AA133" s="533"/>
      <c r="AB133" s="533"/>
      <c r="AC133" s="533"/>
      <c r="AD133" s="533"/>
      <c r="AE133" s="533"/>
      <c r="AF133" s="533"/>
      <c r="AG133" s="533"/>
      <c r="AH133" s="533"/>
      <c r="AI133" s="533"/>
      <c r="AJ133" s="533"/>
      <c r="AK133" s="533"/>
      <c r="AL133" s="533"/>
      <c r="AM133" s="533"/>
      <c r="AN133" s="533"/>
      <c r="AO133" s="533"/>
    </row>
    <row r="134" spans="1:41" ht="12.95" customHeight="1" x14ac:dyDescent="0.2">
      <c r="A134" s="533"/>
      <c r="B134" s="533"/>
      <c r="C134" s="533"/>
      <c r="D134" s="594"/>
      <c r="E134" s="629"/>
      <c r="F134" s="630"/>
      <c r="G134" s="630"/>
      <c r="H134" s="629"/>
      <c r="I134" s="533"/>
      <c r="J134" s="533"/>
      <c r="K134" s="533"/>
      <c r="L134" s="532"/>
      <c r="M134" s="631"/>
      <c r="N134" s="533"/>
      <c r="O134" s="533"/>
      <c r="P134" s="533"/>
      <c r="Q134" s="533"/>
      <c r="R134" s="533"/>
      <c r="S134" s="533"/>
      <c r="T134" s="533"/>
      <c r="U134" s="533"/>
      <c r="V134" s="533"/>
      <c r="W134" s="533"/>
      <c r="X134" s="533"/>
      <c r="Y134" s="533"/>
      <c r="Z134" s="533"/>
      <c r="AA134" s="533"/>
      <c r="AB134" s="533"/>
      <c r="AC134" s="533"/>
      <c r="AD134" s="533"/>
      <c r="AE134" s="533"/>
      <c r="AF134" s="533"/>
      <c r="AG134" s="533"/>
      <c r="AH134" s="533"/>
      <c r="AI134" s="533"/>
      <c r="AJ134" s="533"/>
      <c r="AK134" s="533"/>
      <c r="AL134" s="533"/>
      <c r="AM134" s="533"/>
      <c r="AN134" s="533"/>
      <c r="AO134" s="533"/>
    </row>
    <row r="135" spans="1:41" ht="12.95" customHeight="1" x14ac:dyDescent="0.2">
      <c r="A135" s="533"/>
      <c r="B135" s="533"/>
      <c r="C135" s="533"/>
      <c r="D135" s="594"/>
      <c r="E135" s="629"/>
      <c r="F135" s="630"/>
      <c r="G135" s="630"/>
      <c r="H135" s="629"/>
      <c r="I135" s="533"/>
      <c r="J135" s="533"/>
      <c r="K135" s="533"/>
      <c r="L135" s="532"/>
      <c r="M135" s="631"/>
      <c r="N135" s="533"/>
      <c r="O135" s="533"/>
      <c r="P135" s="53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3"/>
      <c r="AL135" s="533"/>
      <c r="AM135" s="533"/>
      <c r="AN135" s="533"/>
      <c r="AO135" s="533"/>
    </row>
    <row r="136" spans="1:41" ht="12.95" customHeight="1" x14ac:dyDescent="0.2">
      <c r="A136" s="533"/>
      <c r="B136" s="533"/>
      <c r="C136" s="533"/>
      <c r="D136" s="594"/>
      <c r="E136" s="629"/>
      <c r="F136" s="630"/>
      <c r="G136" s="630"/>
      <c r="H136" s="629"/>
      <c r="I136" s="533"/>
      <c r="J136" s="533"/>
      <c r="K136" s="533"/>
      <c r="L136" s="532"/>
      <c r="M136" s="631"/>
      <c r="N136" s="533"/>
      <c r="O136" s="533"/>
      <c r="P136" s="533"/>
      <c r="Q136" s="533"/>
      <c r="R136" s="533"/>
      <c r="S136" s="533"/>
      <c r="T136" s="533"/>
      <c r="U136" s="533"/>
      <c r="V136" s="533"/>
      <c r="W136" s="533"/>
      <c r="X136" s="533"/>
      <c r="Y136" s="533"/>
      <c r="Z136" s="533"/>
      <c r="AA136" s="533"/>
      <c r="AB136" s="533"/>
      <c r="AC136" s="533"/>
      <c r="AD136" s="533"/>
      <c r="AE136" s="533"/>
      <c r="AF136" s="533"/>
      <c r="AG136" s="533"/>
      <c r="AH136" s="533"/>
      <c r="AI136" s="533"/>
      <c r="AJ136" s="533"/>
      <c r="AK136" s="533"/>
      <c r="AL136" s="533"/>
      <c r="AM136" s="533"/>
      <c r="AN136" s="533"/>
      <c r="AO136" s="533"/>
    </row>
    <row r="137" spans="1:41" ht="12.95" customHeight="1" x14ac:dyDescent="0.2">
      <c r="A137" s="533"/>
      <c r="B137" s="533"/>
      <c r="C137" s="533"/>
      <c r="D137" s="594"/>
      <c r="E137" s="629"/>
      <c r="F137" s="630"/>
      <c r="G137" s="630"/>
      <c r="H137" s="629"/>
      <c r="I137" s="533"/>
      <c r="J137" s="533"/>
      <c r="K137" s="533"/>
      <c r="L137" s="532"/>
      <c r="M137" s="631"/>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row>
    <row r="138" spans="1:41" ht="12.95" customHeight="1" x14ac:dyDescent="0.2">
      <c r="A138" s="533"/>
      <c r="B138" s="533"/>
      <c r="C138" s="533"/>
      <c r="D138" s="594"/>
      <c r="E138" s="629"/>
      <c r="F138" s="630"/>
      <c r="G138" s="630"/>
      <c r="H138" s="629"/>
      <c r="I138" s="533"/>
      <c r="J138" s="533"/>
      <c r="K138" s="533"/>
      <c r="L138" s="532"/>
      <c r="M138" s="631"/>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row>
    <row r="139" spans="1:41" ht="12.95" customHeight="1" x14ac:dyDescent="0.2">
      <c r="A139" s="533"/>
      <c r="B139" s="533"/>
      <c r="C139" s="533"/>
      <c r="D139" s="594"/>
      <c r="E139" s="629"/>
      <c r="F139" s="630"/>
      <c r="G139" s="630"/>
      <c r="H139" s="629"/>
      <c r="I139" s="533"/>
      <c r="J139" s="533"/>
      <c r="K139" s="533"/>
      <c r="L139" s="532"/>
      <c r="M139" s="631"/>
      <c r="N139" s="533"/>
      <c r="O139" s="533"/>
      <c r="P139" s="533"/>
      <c r="Q139" s="533"/>
      <c r="R139" s="533"/>
      <c r="S139" s="533"/>
      <c r="T139" s="533"/>
      <c r="U139" s="533"/>
      <c r="V139" s="533"/>
      <c r="W139" s="533"/>
      <c r="X139" s="533"/>
      <c r="Y139" s="533"/>
      <c r="Z139" s="533"/>
      <c r="AA139" s="533"/>
      <c r="AB139" s="533"/>
      <c r="AC139" s="533"/>
      <c r="AD139" s="533"/>
      <c r="AE139" s="533"/>
      <c r="AF139" s="533"/>
      <c r="AG139" s="533"/>
      <c r="AH139" s="533"/>
      <c r="AI139" s="533"/>
      <c r="AJ139" s="533"/>
      <c r="AK139" s="533"/>
      <c r="AL139" s="533"/>
      <c r="AM139" s="533"/>
      <c r="AN139" s="533"/>
      <c r="AO139" s="533"/>
    </row>
    <row r="140" spans="1:41" ht="12.95" customHeight="1" x14ac:dyDescent="0.2">
      <c r="A140" s="533"/>
      <c r="B140" s="533"/>
      <c r="C140" s="533"/>
      <c r="D140" s="594"/>
      <c r="E140" s="629"/>
      <c r="F140" s="630"/>
      <c r="G140" s="630"/>
      <c r="H140" s="629"/>
      <c r="I140" s="533"/>
      <c r="J140" s="533"/>
      <c r="K140" s="533"/>
      <c r="L140" s="532"/>
      <c r="M140" s="631"/>
      <c r="N140" s="533"/>
      <c r="O140" s="533"/>
      <c r="P140" s="533"/>
      <c r="Q140" s="533"/>
      <c r="R140" s="533"/>
      <c r="S140" s="533"/>
      <c r="T140" s="533"/>
      <c r="U140" s="533"/>
      <c r="V140" s="533"/>
      <c r="W140" s="533"/>
      <c r="X140" s="533"/>
      <c r="Y140" s="533"/>
      <c r="Z140" s="533"/>
      <c r="AA140" s="533"/>
      <c r="AB140" s="533"/>
      <c r="AC140" s="533"/>
      <c r="AD140" s="533"/>
      <c r="AE140" s="533"/>
      <c r="AF140" s="533"/>
      <c r="AG140" s="533"/>
      <c r="AH140" s="533"/>
      <c r="AI140" s="533"/>
      <c r="AJ140" s="533"/>
      <c r="AK140" s="533"/>
      <c r="AL140" s="533"/>
      <c r="AM140" s="533"/>
      <c r="AN140" s="533"/>
      <c r="AO140" s="533"/>
    </row>
    <row r="141" spans="1:41" ht="12.95" customHeight="1" x14ac:dyDescent="0.2">
      <c r="A141" s="533"/>
      <c r="B141" s="533"/>
      <c r="C141" s="533"/>
      <c r="D141" s="594"/>
      <c r="E141" s="629"/>
      <c r="F141" s="630"/>
      <c r="G141" s="630"/>
      <c r="H141" s="629"/>
      <c r="I141" s="533"/>
      <c r="J141" s="533"/>
      <c r="K141" s="533"/>
      <c r="L141" s="532"/>
      <c r="M141" s="631"/>
      <c r="N141" s="533"/>
      <c r="O141" s="533"/>
      <c r="P141" s="533"/>
      <c r="Q141" s="533"/>
      <c r="R141" s="533"/>
      <c r="S141" s="533"/>
      <c r="T141" s="533"/>
      <c r="U141" s="533"/>
      <c r="V141" s="533"/>
      <c r="W141" s="533"/>
      <c r="X141" s="533"/>
      <c r="Y141" s="533"/>
      <c r="Z141" s="533"/>
      <c r="AA141" s="533"/>
      <c r="AB141" s="533"/>
      <c r="AC141" s="533"/>
      <c r="AD141" s="533"/>
      <c r="AE141" s="533"/>
      <c r="AF141" s="533"/>
      <c r="AG141" s="533"/>
      <c r="AH141" s="533"/>
      <c r="AI141" s="533"/>
      <c r="AJ141" s="533"/>
      <c r="AK141" s="533"/>
      <c r="AL141" s="533"/>
      <c r="AM141" s="533"/>
      <c r="AN141" s="533"/>
      <c r="AO141" s="533"/>
    </row>
    <row r="142" spans="1:41" ht="12.95" customHeight="1" x14ac:dyDescent="0.2">
      <c r="A142" s="533"/>
      <c r="B142" s="533"/>
      <c r="C142" s="533"/>
      <c r="D142" s="594"/>
      <c r="E142" s="629"/>
      <c r="F142" s="630"/>
      <c r="G142" s="630"/>
      <c r="H142" s="629"/>
      <c r="I142" s="533"/>
      <c r="J142" s="533"/>
      <c r="K142" s="533"/>
      <c r="L142" s="532"/>
      <c r="M142" s="631"/>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33"/>
      <c r="AO142" s="533"/>
    </row>
    <row r="143" spans="1:41" ht="12.95" customHeight="1" x14ac:dyDescent="0.2">
      <c r="A143" s="533"/>
      <c r="B143" s="533"/>
      <c r="C143" s="533"/>
      <c r="D143" s="594"/>
      <c r="E143" s="629"/>
      <c r="F143" s="630"/>
      <c r="G143" s="630"/>
      <c r="H143" s="629"/>
      <c r="I143" s="533"/>
      <c r="J143" s="533"/>
      <c r="K143" s="533"/>
      <c r="L143" s="532"/>
      <c r="M143" s="631"/>
      <c r="N143" s="533"/>
      <c r="O143" s="533"/>
      <c r="P143" s="533"/>
      <c r="Q143" s="533"/>
      <c r="R143" s="533"/>
      <c r="S143" s="533"/>
      <c r="T143" s="533"/>
      <c r="U143" s="533"/>
      <c r="V143" s="533"/>
      <c r="W143" s="533"/>
      <c r="X143" s="533"/>
      <c r="Y143" s="533"/>
      <c r="Z143" s="533"/>
      <c r="AA143" s="533"/>
      <c r="AB143" s="533"/>
      <c r="AC143" s="533"/>
      <c r="AD143" s="533"/>
      <c r="AE143" s="533"/>
      <c r="AF143" s="533"/>
      <c r="AG143" s="533"/>
      <c r="AH143" s="533"/>
      <c r="AI143" s="533"/>
      <c r="AJ143" s="533"/>
      <c r="AK143" s="533"/>
      <c r="AL143" s="533"/>
      <c r="AM143" s="533"/>
      <c r="AN143" s="533"/>
      <c r="AO143" s="533"/>
    </row>
    <row r="144" spans="1:41" ht="12.95" customHeight="1" x14ac:dyDescent="0.2">
      <c r="A144" s="533"/>
      <c r="B144" s="533"/>
      <c r="C144" s="533"/>
      <c r="D144" s="594"/>
      <c r="E144" s="629"/>
      <c r="F144" s="630"/>
      <c r="G144" s="630"/>
      <c r="H144" s="629"/>
      <c r="I144" s="533"/>
      <c r="J144" s="533"/>
      <c r="K144" s="533"/>
      <c r="L144" s="532"/>
      <c r="M144" s="631"/>
      <c r="N144" s="533"/>
      <c r="O144" s="533"/>
      <c r="P144" s="533"/>
      <c r="Q144" s="533"/>
      <c r="R144" s="533"/>
      <c r="S144" s="533"/>
      <c r="T144" s="533"/>
      <c r="U144" s="533"/>
      <c r="V144" s="533"/>
      <c r="W144" s="533"/>
      <c r="X144" s="533"/>
      <c r="Y144" s="533"/>
      <c r="Z144" s="533"/>
      <c r="AA144" s="533"/>
      <c r="AB144" s="533"/>
      <c r="AC144" s="533"/>
      <c r="AD144" s="533"/>
      <c r="AE144" s="533"/>
      <c r="AF144" s="533"/>
      <c r="AG144" s="533"/>
      <c r="AH144" s="533"/>
      <c r="AI144" s="533"/>
      <c r="AJ144" s="533"/>
      <c r="AK144" s="533"/>
      <c r="AL144" s="533"/>
      <c r="AM144" s="533"/>
      <c r="AN144" s="533"/>
      <c r="AO144" s="533"/>
    </row>
    <row r="145" spans="1:41" ht="12.95" customHeight="1" x14ac:dyDescent="0.2">
      <c r="A145" s="533"/>
      <c r="B145" s="533"/>
      <c r="C145" s="533"/>
      <c r="D145" s="594"/>
      <c r="E145" s="629"/>
      <c r="F145" s="630"/>
      <c r="G145" s="630"/>
      <c r="H145" s="629"/>
      <c r="I145" s="533"/>
      <c r="J145" s="533"/>
      <c r="K145" s="533"/>
      <c r="L145" s="532"/>
      <c r="M145" s="631"/>
      <c r="N145" s="533"/>
      <c r="O145" s="533"/>
      <c r="P145" s="533"/>
      <c r="Q145" s="533"/>
      <c r="R145" s="533"/>
      <c r="S145" s="533"/>
      <c r="T145" s="533"/>
      <c r="U145" s="533"/>
      <c r="V145" s="533"/>
      <c r="W145" s="533"/>
      <c r="X145" s="533"/>
      <c r="Y145" s="533"/>
      <c r="Z145" s="533"/>
      <c r="AA145" s="533"/>
      <c r="AB145" s="533"/>
      <c r="AC145" s="533"/>
      <c r="AD145" s="533"/>
      <c r="AE145" s="533"/>
      <c r="AF145" s="533"/>
      <c r="AG145" s="533"/>
      <c r="AH145" s="533"/>
      <c r="AI145" s="533"/>
      <c r="AJ145" s="533"/>
      <c r="AK145" s="533"/>
      <c r="AL145" s="533"/>
      <c r="AM145" s="533"/>
      <c r="AN145" s="533"/>
      <c r="AO145" s="533"/>
    </row>
    <row r="146" spans="1:41" ht="12.95" customHeight="1" x14ac:dyDescent="0.2">
      <c r="A146" s="533"/>
      <c r="B146" s="533"/>
      <c r="C146" s="533"/>
      <c r="D146" s="594"/>
      <c r="E146" s="629"/>
      <c r="F146" s="630"/>
      <c r="G146" s="630"/>
      <c r="H146" s="629"/>
      <c r="I146" s="533"/>
      <c r="J146" s="533"/>
      <c r="K146" s="533"/>
      <c r="L146" s="532"/>
      <c r="M146" s="631"/>
      <c r="N146" s="533"/>
      <c r="O146" s="533"/>
      <c r="P146" s="533"/>
      <c r="Q146" s="533"/>
      <c r="R146" s="533"/>
      <c r="S146" s="533"/>
      <c r="T146" s="533"/>
      <c r="U146" s="533"/>
      <c r="V146" s="533"/>
      <c r="W146" s="533"/>
      <c r="X146" s="533"/>
      <c r="Y146" s="533"/>
      <c r="Z146" s="533"/>
      <c r="AA146" s="533"/>
      <c r="AB146" s="533"/>
      <c r="AC146" s="533"/>
      <c r="AD146" s="533"/>
      <c r="AE146" s="533"/>
      <c r="AF146" s="533"/>
      <c r="AG146" s="533"/>
      <c r="AH146" s="533"/>
      <c r="AI146" s="533"/>
      <c r="AJ146" s="533"/>
      <c r="AK146" s="533"/>
      <c r="AL146" s="533"/>
      <c r="AM146" s="533"/>
      <c r="AN146" s="533"/>
      <c r="AO146" s="533"/>
    </row>
    <row r="147" spans="1:41" ht="12.95" customHeight="1" x14ac:dyDescent="0.2">
      <c r="A147" s="533"/>
      <c r="B147" s="533"/>
      <c r="C147" s="533"/>
      <c r="D147" s="594"/>
      <c r="E147" s="629"/>
      <c r="F147" s="630"/>
      <c r="G147" s="630"/>
      <c r="H147" s="629"/>
      <c r="I147" s="533"/>
      <c r="J147" s="533"/>
      <c r="K147" s="533"/>
      <c r="L147" s="532"/>
      <c r="M147" s="631"/>
      <c r="N147" s="533"/>
      <c r="O147" s="533"/>
      <c r="P147" s="533"/>
      <c r="Q147" s="533"/>
      <c r="R147" s="533"/>
      <c r="S147" s="533"/>
      <c r="T147" s="533"/>
      <c r="U147" s="533"/>
      <c r="V147" s="533"/>
      <c r="W147" s="533"/>
      <c r="X147" s="533"/>
      <c r="Y147" s="533"/>
      <c r="Z147" s="533"/>
      <c r="AA147" s="533"/>
      <c r="AB147" s="533"/>
      <c r="AC147" s="533"/>
      <c r="AD147" s="533"/>
      <c r="AE147" s="533"/>
      <c r="AF147" s="533"/>
      <c r="AG147" s="533"/>
      <c r="AH147" s="533"/>
      <c r="AI147" s="533"/>
      <c r="AJ147" s="533"/>
      <c r="AK147" s="533"/>
      <c r="AL147" s="533"/>
      <c r="AM147" s="533"/>
      <c r="AN147" s="533"/>
      <c r="AO147" s="533"/>
    </row>
    <row r="148" spans="1:41" ht="12.95" customHeight="1" x14ac:dyDescent="0.2">
      <c r="A148" s="533"/>
      <c r="B148" s="533"/>
      <c r="C148" s="533"/>
      <c r="D148" s="594"/>
      <c r="E148" s="629"/>
      <c r="F148" s="630"/>
      <c r="G148" s="630"/>
      <c r="H148" s="629"/>
      <c r="I148" s="533"/>
      <c r="J148" s="533"/>
      <c r="K148" s="533"/>
      <c r="L148" s="532"/>
      <c r="M148" s="631"/>
      <c r="N148" s="533"/>
      <c r="O148" s="533"/>
      <c r="P148" s="533"/>
      <c r="Q148" s="533"/>
      <c r="R148" s="533"/>
      <c r="S148" s="533"/>
      <c r="T148" s="533"/>
      <c r="U148" s="533"/>
      <c r="V148" s="533"/>
      <c r="W148" s="533"/>
      <c r="X148" s="533"/>
      <c r="Y148" s="533"/>
      <c r="Z148" s="533"/>
      <c r="AA148" s="533"/>
      <c r="AB148" s="533"/>
      <c r="AC148" s="533"/>
      <c r="AD148" s="533"/>
      <c r="AE148" s="533"/>
      <c r="AF148" s="533"/>
      <c r="AG148" s="533"/>
      <c r="AH148" s="533"/>
      <c r="AI148" s="533"/>
      <c r="AJ148" s="533"/>
      <c r="AK148" s="533"/>
      <c r="AL148" s="533"/>
      <c r="AM148" s="533"/>
      <c r="AN148" s="533"/>
      <c r="AO148" s="533"/>
    </row>
    <row r="149" spans="1:41" ht="12.95" customHeight="1" x14ac:dyDescent="0.2">
      <c r="A149" s="533"/>
      <c r="B149" s="533"/>
      <c r="C149" s="533"/>
      <c r="D149" s="594"/>
      <c r="E149" s="629"/>
      <c r="F149" s="630"/>
      <c r="G149" s="630"/>
      <c r="H149" s="629"/>
      <c r="I149" s="533"/>
      <c r="J149" s="533"/>
      <c r="K149" s="533"/>
      <c r="L149" s="532"/>
      <c r="M149" s="631"/>
      <c r="N149" s="533"/>
      <c r="O149" s="533"/>
      <c r="P149" s="533"/>
      <c r="Q149" s="533"/>
      <c r="R149" s="533"/>
      <c r="S149" s="533"/>
      <c r="T149" s="533"/>
      <c r="U149" s="533"/>
      <c r="V149" s="533"/>
      <c r="W149" s="533"/>
      <c r="X149" s="533"/>
      <c r="Y149" s="533"/>
      <c r="Z149" s="533"/>
      <c r="AA149" s="533"/>
      <c r="AB149" s="533"/>
      <c r="AC149" s="533"/>
      <c r="AD149" s="533"/>
      <c r="AE149" s="533"/>
      <c r="AF149" s="533"/>
      <c r="AG149" s="533"/>
      <c r="AH149" s="533"/>
      <c r="AI149" s="533"/>
      <c r="AJ149" s="533"/>
      <c r="AK149" s="533"/>
      <c r="AL149" s="533"/>
      <c r="AM149" s="533"/>
      <c r="AN149" s="533"/>
      <c r="AO149" s="533"/>
    </row>
    <row r="150" spans="1:41" ht="12.95" customHeight="1" x14ac:dyDescent="0.2">
      <c r="A150" s="533"/>
      <c r="B150" s="533"/>
      <c r="C150" s="533"/>
      <c r="D150" s="594"/>
      <c r="E150" s="629"/>
      <c r="F150" s="630"/>
      <c r="G150" s="630"/>
      <c r="H150" s="629"/>
      <c r="I150" s="533"/>
      <c r="J150" s="533"/>
      <c r="K150" s="533"/>
      <c r="L150" s="532"/>
      <c r="M150" s="631"/>
      <c r="N150" s="533"/>
      <c r="O150" s="533"/>
      <c r="P150" s="533"/>
      <c r="Q150" s="533"/>
      <c r="R150" s="533"/>
      <c r="S150" s="533"/>
      <c r="T150" s="533"/>
      <c r="U150" s="533"/>
      <c r="V150" s="533"/>
      <c r="W150" s="533"/>
      <c r="X150" s="533"/>
      <c r="Y150" s="533"/>
      <c r="Z150" s="533"/>
      <c r="AA150" s="533"/>
      <c r="AB150" s="533"/>
      <c r="AC150" s="533"/>
      <c r="AD150" s="533"/>
      <c r="AE150" s="533"/>
      <c r="AF150" s="533"/>
      <c r="AG150" s="533"/>
      <c r="AH150" s="533"/>
      <c r="AI150" s="533"/>
      <c r="AJ150" s="533"/>
      <c r="AK150" s="533"/>
      <c r="AL150" s="533"/>
      <c r="AM150" s="533"/>
      <c r="AN150" s="533"/>
      <c r="AO150" s="533"/>
    </row>
    <row r="151" spans="1:41" ht="12.95" customHeight="1" x14ac:dyDescent="0.2">
      <c r="A151" s="533"/>
      <c r="B151" s="533"/>
      <c r="C151" s="533"/>
      <c r="D151" s="594"/>
      <c r="E151" s="629"/>
      <c r="F151" s="630"/>
      <c r="G151" s="630"/>
      <c r="H151" s="629"/>
      <c r="I151" s="533"/>
      <c r="J151" s="533"/>
      <c r="K151" s="533"/>
      <c r="L151" s="532"/>
      <c r="M151" s="631"/>
      <c r="N151" s="533"/>
      <c r="O151" s="533"/>
      <c r="P151" s="533"/>
      <c r="Q151" s="533"/>
      <c r="R151" s="533"/>
      <c r="S151" s="533"/>
      <c r="T151" s="533"/>
      <c r="U151" s="533"/>
      <c r="V151" s="533"/>
      <c r="W151" s="533"/>
      <c r="X151" s="533"/>
      <c r="Y151" s="533"/>
      <c r="Z151" s="533"/>
      <c r="AA151" s="533"/>
      <c r="AB151" s="533"/>
      <c r="AC151" s="533"/>
      <c r="AD151" s="533"/>
      <c r="AE151" s="533"/>
      <c r="AF151" s="533"/>
      <c r="AG151" s="533"/>
      <c r="AH151" s="533"/>
      <c r="AI151" s="533"/>
      <c r="AJ151" s="533"/>
      <c r="AK151" s="533"/>
      <c r="AL151" s="533"/>
      <c r="AM151" s="533"/>
      <c r="AN151" s="533"/>
      <c r="AO151" s="533"/>
    </row>
    <row r="152" spans="1:41" ht="12.95" customHeight="1" x14ac:dyDescent="0.2">
      <c r="A152" s="533"/>
      <c r="B152" s="533"/>
      <c r="C152" s="533"/>
      <c r="D152" s="594"/>
      <c r="E152" s="629"/>
      <c r="F152" s="630"/>
      <c r="G152" s="630"/>
      <c r="H152" s="629"/>
      <c r="I152" s="533"/>
      <c r="J152" s="533"/>
      <c r="K152" s="533"/>
      <c r="L152" s="532"/>
      <c r="M152" s="631"/>
      <c r="N152" s="533"/>
      <c r="O152" s="533"/>
      <c r="P152" s="533"/>
      <c r="Q152" s="533"/>
      <c r="R152" s="533"/>
      <c r="S152" s="533"/>
      <c r="T152" s="533"/>
      <c r="U152" s="533"/>
      <c r="V152" s="533"/>
      <c r="W152" s="533"/>
      <c r="X152" s="533"/>
      <c r="Y152" s="533"/>
      <c r="Z152" s="533"/>
      <c r="AA152" s="533"/>
      <c r="AB152" s="533"/>
      <c r="AC152" s="533"/>
      <c r="AD152" s="533"/>
      <c r="AE152" s="533"/>
      <c r="AF152" s="533"/>
      <c r="AG152" s="533"/>
      <c r="AH152" s="533"/>
      <c r="AI152" s="533"/>
      <c r="AJ152" s="533"/>
      <c r="AK152" s="533"/>
      <c r="AL152" s="533"/>
      <c r="AM152" s="533"/>
      <c r="AN152" s="533"/>
      <c r="AO152" s="533"/>
    </row>
    <row r="153" spans="1:41" ht="12.95" customHeight="1" x14ac:dyDescent="0.2">
      <c r="A153" s="533"/>
      <c r="B153" s="533"/>
      <c r="C153" s="533"/>
      <c r="D153" s="594"/>
      <c r="E153" s="629"/>
      <c r="F153" s="630"/>
      <c r="G153" s="630"/>
      <c r="H153" s="629"/>
      <c r="I153" s="533"/>
      <c r="J153" s="533"/>
      <c r="K153" s="533"/>
      <c r="L153" s="532"/>
      <c r="M153" s="631"/>
      <c r="N153" s="533"/>
      <c r="O153" s="533"/>
      <c r="P153" s="533"/>
      <c r="Q153" s="533"/>
      <c r="R153" s="533"/>
      <c r="S153" s="533"/>
      <c r="T153" s="533"/>
      <c r="U153" s="533"/>
      <c r="V153" s="533"/>
      <c r="W153" s="533"/>
      <c r="X153" s="533"/>
      <c r="Y153" s="533"/>
      <c r="Z153" s="533"/>
      <c r="AA153" s="533"/>
      <c r="AB153" s="533"/>
      <c r="AC153" s="533"/>
      <c r="AD153" s="533"/>
      <c r="AE153" s="533"/>
      <c r="AF153" s="533"/>
      <c r="AG153" s="533"/>
      <c r="AH153" s="533"/>
      <c r="AI153" s="533"/>
      <c r="AJ153" s="533"/>
      <c r="AK153" s="533"/>
      <c r="AL153" s="533"/>
      <c r="AM153" s="533"/>
      <c r="AN153" s="533"/>
      <c r="AO153" s="533"/>
    </row>
    <row r="154" spans="1:41" ht="12.95" customHeight="1" x14ac:dyDescent="0.2">
      <c r="A154" s="533"/>
      <c r="B154" s="533"/>
      <c r="C154" s="533"/>
      <c r="D154" s="594"/>
      <c r="E154" s="629"/>
      <c r="F154" s="630"/>
      <c r="G154" s="630"/>
      <c r="H154" s="629"/>
      <c r="I154" s="533"/>
      <c r="J154" s="533"/>
      <c r="K154" s="533"/>
      <c r="L154" s="532"/>
      <c r="M154" s="631"/>
      <c r="N154" s="533"/>
      <c r="O154" s="533"/>
      <c r="P154" s="533"/>
      <c r="Q154" s="533"/>
      <c r="R154" s="533"/>
      <c r="S154" s="533"/>
      <c r="T154" s="533"/>
      <c r="U154" s="533"/>
      <c r="V154" s="533"/>
      <c r="W154" s="533"/>
      <c r="X154" s="533"/>
      <c r="Y154" s="533"/>
      <c r="Z154" s="533"/>
      <c r="AA154" s="533"/>
      <c r="AB154" s="533"/>
      <c r="AC154" s="533"/>
      <c r="AD154" s="533"/>
      <c r="AE154" s="533"/>
      <c r="AF154" s="533"/>
      <c r="AG154" s="533"/>
      <c r="AH154" s="533"/>
      <c r="AI154" s="533"/>
      <c r="AJ154" s="533"/>
      <c r="AK154" s="533"/>
      <c r="AL154" s="533"/>
      <c r="AM154" s="533"/>
      <c r="AN154" s="533"/>
      <c r="AO154" s="533"/>
    </row>
    <row r="155" spans="1:41" ht="12.95" customHeight="1" x14ac:dyDescent="0.2">
      <c r="A155" s="533"/>
      <c r="B155" s="533"/>
      <c r="C155" s="533"/>
      <c r="D155" s="594"/>
      <c r="E155" s="629"/>
      <c r="F155" s="630"/>
      <c r="G155" s="630"/>
      <c r="H155" s="629"/>
      <c r="I155" s="533"/>
      <c r="J155" s="533"/>
      <c r="K155" s="533"/>
      <c r="L155" s="532"/>
      <c r="M155" s="631"/>
      <c r="N155" s="533"/>
      <c r="O155" s="533"/>
      <c r="P155" s="533"/>
      <c r="Q155" s="533"/>
      <c r="R155" s="533"/>
      <c r="S155" s="533"/>
      <c r="T155" s="533"/>
      <c r="U155" s="533"/>
      <c r="V155" s="533"/>
      <c r="W155" s="533"/>
      <c r="X155" s="533"/>
      <c r="Y155" s="533"/>
      <c r="Z155" s="533"/>
      <c r="AA155" s="533"/>
      <c r="AB155" s="533"/>
      <c r="AC155" s="533"/>
      <c r="AD155" s="533"/>
      <c r="AE155" s="533"/>
      <c r="AF155" s="533"/>
      <c r="AG155" s="533"/>
      <c r="AH155" s="533"/>
      <c r="AI155" s="533"/>
      <c r="AJ155" s="533"/>
      <c r="AK155" s="533"/>
      <c r="AL155" s="533"/>
      <c r="AM155" s="533"/>
      <c r="AN155" s="533"/>
      <c r="AO155" s="533"/>
    </row>
    <row r="156" spans="1:41" ht="12.95" customHeight="1" x14ac:dyDescent="0.2">
      <c r="A156" s="533"/>
      <c r="B156" s="533"/>
      <c r="C156" s="533"/>
      <c r="D156" s="594"/>
      <c r="E156" s="629"/>
      <c r="F156" s="630"/>
      <c r="G156" s="630"/>
      <c r="H156" s="629"/>
      <c r="I156" s="533"/>
      <c r="J156" s="533"/>
      <c r="K156" s="533"/>
      <c r="L156" s="532"/>
      <c r="M156" s="631"/>
      <c r="N156" s="533"/>
      <c r="O156" s="533"/>
      <c r="P156" s="533"/>
      <c r="Q156" s="533"/>
      <c r="R156" s="533"/>
      <c r="S156" s="533"/>
      <c r="T156" s="533"/>
      <c r="U156" s="533"/>
      <c r="V156" s="533"/>
      <c r="W156" s="533"/>
      <c r="X156" s="533"/>
      <c r="Y156" s="533"/>
      <c r="Z156" s="533"/>
      <c r="AA156" s="533"/>
      <c r="AB156" s="533"/>
      <c r="AC156" s="533"/>
      <c r="AD156" s="533"/>
      <c r="AE156" s="533"/>
      <c r="AF156" s="533"/>
      <c r="AG156" s="533"/>
      <c r="AH156" s="533"/>
      <c r="AI156" s="533"/>
      <c r="AJ156" s="533"/>
      <c r="AK156" s="533"/>
      <c r="AL156" s="533"/>
      <c r="AM156" s="533"/>
      <c r="AN156" s="533"/>
      <c r="AO156" s="533"/>
    </row>
    <row r="157" spans="1:41" ht="12.95" customHeight="1" x14ac:dyDescent="0.2">
      <c r="A157" s="533"/>
      <c r="B157" s="533"/>
      <c r="C157" s="533"/>
      <c r="D157" s="594"/>
      <c r="E157" s="629"/>
      <c r="F157" s="630"/>
      <c r="G157" s="630"/>
      <c r="H157" s="629"/>
      <c r="I157" s="533"/>
      <c r="J157" s="533"/>
      <c r="K157" s="533"/>
      <c r="L157" s="532"/>
      <c r="M157" s="631"/>
      <c r="N157" s="533"/>
      <c r="O157" s="533"/>
      <c r="P157" s="533"/>
      <c r="Q157" s="533"/>
      <c r="R157" s="533"/>
      <c r="S157" s="533"/>
      <c r="T157" s="533"/>
      <c r="U157" s="533"/>
      <c r="V157" s="533"/>
      <c r="W157" s="533"/>
      <c r="X157" s="533"/>
      <c r="Y157" s="533"/>
      <c r="Z157" s="533"/>
      <c r="AA157" s="533"/>
      <c r="AB157" s="533"/>
      <c r="AC157" s="533"/>
      <c r="AD157" s="533"/>
      <c r="AE157" s="533"/>
      <c r="AF157" s="533"/>
      <c r="AG157" s="533"/>
      <c r="AH157" s="533"/>
      <c r="AI157" s="533"/>
      <c r="AJ157" s="533"/>
      <c r="AK157" s="533"/>
      <c r="AL157" s="533"/>
      <c r="AM157" s="533"/>
      <c r="AN157" s="533"/>
      <c r="AO157" s="533"/>
    </row>
    <row r="158" spans="1:41" ht="12.95" customHeight="1" x14ac:dyDescent="0.2">
      <c r="A158" s="533"/>
      <c r="B158" s="533"/>
      <c r="C158" s="533"/>
      <c r="D158" s="594"/>
      <c r="E158" s="629"/>
      <c r="F158" s="630"/>
      <c r="G158" s="630"/>
      <c r="H158" s="629"/>
      <c r="I158" s="533"/>
      <c r="J158" s="533"/>
      <c r="K158" s="533"/>
      <c r="L158" s="532"/>
      <c r="M158" s="631"/>
      <c r="N158" s="533"/>
      <c r="O158" s="533"/>
      <c r="P158" s="533"/>
      <c r="Q158" s="533"/>
      <c r="R158" s="533"/>
      <c r="S158" s="533"/>
      <c r="T158" s="533"/>
      <c r="U158" s="533"/>
      <c r="V158" s="533"/>
      <c r="W158" s="533"/>
      <c r="X158" s="533"/>
      <c r="Y158" s="533"/>
      <c r="Z158" s="533"/>
      <c r="AA158" s="533"/>
      <c r="AB158" s="533"/>
      <c r="AC158" s="533"/>
      <c r="AD158" s="533"/>
      <c r="AE158" s="533"/>
      <c r="AF158" s="533"/>
      <c r="AG158" s="533"/>
      <c r="AH158" s="533"/>
      <c r="AI158" s="533"/>
      <c r="AJ158" s="533"/>
      <c r="AK158" s="533"/>
      <c r="AL158" s="533"/>
      <c r="AM158" s="533"/>
      <c r="AN158" s="533"/>
      <c r="AO158" s="533"/>
    </row>
    <row r="159" spans="1:41" ht="12.95" customHeight="1" x14ac:dyDescent="0.2">
      <c r="A159" s="533"/>
      <c r="B159" s="533"/>
      <c r="C159" s="533"/>
      <c r="D159" s="594"/>
      <c r="E159" s="629"/>
      <c r="F159" s="630"/>
      <c r="G159" s="630"/>
      <c r="H159" s="629"/>
      <c r="I159" s="533"/>
      <c r="J159" s="533"/>
      <c r="K159" s="533"/>
      <c r="L159" s="532"/>
      <c r="M159" s="631"/>
      <c r="N159" s="533"/>
      <c r="O159" s="533"/>
      <c r="P159" s="533"/>
      <c r="Q159" s="533"/>
      <c r="R159" s="533"/>
      <c r="S159" s="533"/>
      <c r="T159" s="533"/>
      <c r="U159" s="533"/>
      <c r="V159" s="533"/>
      <c r="W159" s="533"/>
      <c r="X159" s="533"/>
      <c r="Y159" s="533"/>
      <c r="Z159" s="533"/>
      <c r="AA159" s="533"/>
      <c r="AB159" s="533"/>
      <c r="AC159" s="533"/>
      <c r="AD159" s="533"/>
      <c r="AE159" s="533"/>
      <c r="AF159" s="533"/>
      <c r="AG159" s="533"/>
      <c r="AH159" s="533"/>
      <c r="AI159" s="533"/>
      <c r="AJ159" s="533"/>
      <c r="AK159" s="533"/>
      <c r="AL159" s="533"/>
      <c r="AM159" s="533"/>
      <c r="AN159" s="533"/>
      <c r="AO159" s="533"/>
    </row>
    <row r="160" spans="1:41" ht="12.95" customHeight="1" x14ac:dyDescent="0.2">
      <c r="A160" s="533"/>
      <c r="B160" s="533"/>
      <c r="C160" s="533"/>
      <c r="D160" s="594"/>
      <c r="E160" s="629"/>
      <c r="F160" s="630"/>
      <c r="G160" s="630"/>
      <c r="H160" s="629"/>
      <c r="I160" s="533"/>
      <c r="J160" s="533"/>
      <c r="K160" s="533"/>
      <c r="L160" s="532"/>
      <c r="M160" s="631"/>
      <c r="N160" s="533"/>
      <c r="O160" s="533"/>
      <c r="P160" s="533"/>
      <c r="Q160" s="533"/>
      <c r="R160" s="533"/>
      <c r="S160" s="533"/>
      <c r="T160" s="533"/>
      <c r="U160" s="533"/>
      <c r="V160" s="533"/>
      <c r="W160" s="533"/>
      <c r="X160" s="533"/>
      <c r="Y160" s="533"/>
      <c r="Z160" s="533"/>
      <c r="AA160" s="533"/>
      <c r="AB160" s="533"/>
      <c r="AC160" s="533"/>
      <c r="AD160" s="533"/>
      <c r="AE160" s="533"/>
      <c r="AF160" s="533"/>
      <c r="AG160" s="533"/>
      <c r="AH160" s="533"/>
      <c r="AI160" s="533"/>
      <c r="AJ160" s="533"/>
      <c r="AK160" s="533"/>
      <c r="AL160" s="533"/>
      <c r="AM160" s="533"/>
      <c r="AN160" s="533"/>
      <c r="AO160" s="533"/>
    </row>
    <row r="161" spans="1:41" ht="12.95" customHeight="1" x14ac:dyDescent="0.2">
      <c r="A161" s="533"/>
      <c r="B161" s="533"/>
      <c r="C161" s="533"/>
      <c r="D161" s="594"/>
      <c r="E161" s="629"/>
      <c r="F161" s="630"/>
      <c r="G161" s="630"/>
      <c r="H161" s="629"/>
      <c r="I161" s="533"/>
      <c r="J161" s="533"/>
      <c r="K161" s="533"/>
      <c r="L161" s="532"/>
      <c r="M161" s="631"/>
      <c r="N161" s="533"/>
      <c r="O161" s="533"/>
      <c r="P161" s="533"/>
      <c r="Q161" s="533"/>
      <c r="R161" s="533"/>
      <c r="S161" s="533"/>
      <c r="T161" s="533"/>
      <c r="U161" s="533"/>
      <c r="V161" s="533"/>
      <c r="W161" s="533"/>
      <c r="X161" s="533"/>
      <c r="Y161" s="533"/>
      <c r="Z161" s="533"/>
      <c r="AA161" s="533"/>
      <c r="AB161" s="533"/>
      <c r="AC161" s="533"/>
      <c r="AD161" s="533"/>
      <c r="AE161" s="533"/>
      <c r="AF161" s="533"/>
      <c r="AG161" s="533"/>
      <c r="AH161" s="533"/>
      <c r="AI161" s="533"/>
      <c r="AJ161" s="533"/>
      <c r="AK161" s="533"/>
      <c r="AL161" s="533"/>
      <c r="AM161" s="533"/>
      <c r="AN161" s="533"/>
      <c r="AO161" s="533"/>
    </row>
    <row r="162" spans="1:41" ht="12.95" customHeight="1" x14ac:dyDescent="0.2">
      <c r="A162" s="533"/>
      <c r="B162" s="533"/>
      <c r="C162" s="533"/>
      <c r="D162" s="594"/>
      <c r="E162" s="629"/>
      <c r="F162" s="630"/>
      <c r="G162" s="630"/>
      <c r="H162" s="629"/>
      <c r="I162" s="533"/>
      <c r="J162" s="533"/>
      <c r="K162" s="533"/>
      <c r="L162" s="532"/>
      <c r="M162" s="631"/>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3"/>
      <c r="AM162" s="533"/>
      <c r="AN162" s="533"/>
      <c r="AO162" s="533"/>
    </row>
    <row r="163" spans="1:41" ht="12.95" customHeight="1" x14ac:dyDescent="0.2">
      <c r="A163" s="533"/>
      <c r="B163" s="533"/>
      <c r="C163" s="533"/>
      <c r="D163" s="594"/>
      <c r="E163" s="629"/>
      <c r="F163" s="630"/>
      <c r="G163" s="630"/>
      <c r="H163" s="629"/>
      <c r="I163" s="533"/>
      <c r="J163" s="533"/>
      <c r="K163" s="533"/>
      <c r="L163" s="532"/>
      <c r="M163" s="631"/>
      <c r="N163" s="533"/>
      <c r="O163" s="533"/>
      <c r="P163" s="533"/>
      <c r="Q163" s="533"/>
      <c r="R163" s="533"/>
      <c r="S163" s="533"/>
      <c r="T163" s="533"/>
      <c r="U163" s="533"/>
      <c r="V163" s="533"/>
      <c r="W163" s="533"/>
      <c r="X163" s="533"/>
      <c r="Y163" s="533"/>
      <c r="Z163" s="533"/>
      <c r="AA163" s="533"/>
      <c r="AB163" s="533"/>
      <c r="AC163" s="533"/>
      <c r="AD163" s="533"/>
      <c r="AE163" s="533"/>
      <c r="AF163" s="533"/>
      <c r="AG163" s="533"/>
      <c r="AH163" s="533"/>
      <c r="AI163" s="533"/>
      <c r="AJ163" s="533"/>
      <c r="AK163" s="533"/>
      <c r="AL163" s="533"/>
      <c r="AM163" s="533"/>
      <c r="AN163" s="533"/>
      <c r="AO163" s="533"/>
    </row>
    <row r="164" spans="1:41" ht="12.95" customHeight="1" x14ac:dyDescent="0.2">
      <c r="A164" s="533"/>
      <c r="B164" s="533"/>
      <c r="C164" s="533"/>
      <c r="D164" s="594"/>
      <c r="E164" s="629"/>
      <c r="F164" s="630"/>
      <c r="G164" s="630"/>
      <c r="H164" s="629"/>
      <c r="I164" s="533"/>
      <c r="J164" s="533"/>
      <c r="K164" s="533"/>
      <c r="L164" s="532"/>
      <c r="M164" s="631"/>
      <c r="N164" s="533"/>
      <c r="O164" s="533"/>
      <c r="P164" s="533"/>
      <c r="Q164" s="533"/>
      <c r="R164" s="533"/>
      <c r="S164" s="533"/>
      <c r="T164" s="533"/>
      <c r="U164" s="533"/>
      <c r="V164" s="533"/>
      <c r="W164" s="533"/>
      <c r="X164" s="533"/>
      <c r="Y164" s="533"/>
      <c r="Z164" s="533"/>
      <c r="AA164" s="533"/>
      <c r="AB164" s="533"/>
      <c r="AC164" s="533"/>
      <c r="AD164" s="533"/>
      <c r="AE164" s="533"/>
      <c r="AF164" s="533"/>
      <c r="AG164" s="533"/>
      <c r="AH164" s="533"/>
      <c r="AI164" s="533"/>
      <c r="AJ164" s="533"/>
      <c r="AK164" s="533"/>
      <c r="AL164" s="533"/>
      <c r="AM164" s="533"/>
      <c r="AN164" s="533"/>
      <c r="AO164" s="533"/>
    </row>
    <row r="165" spans="1:41" ht="12.95" customHeight="1" x14ac:dyDescent="0.2">
      <c r="A165" s="533"/>
      <c r="B165" s="533"/>
      <c r="C165" s="533"/>
      <c r="D165" s="594"/>
      <c r="E165" s="629"/>
      <c r="F165" s="630"/>
      <c r="G165" s="630"/>
      <c r="H165" s="629"/>
      <c r="I165" s="533"/>
      <c r="J165" s="533"/>
      <c r="K165" s="533"/>
      <c r="L165" s="532"/>
      <c r="M165" s="631"/>
      <c r="N165" s="533"/>
      <c r="O165" s="533"/>
      <c r="P165" s="533"/>
      <c r="Q165" s="533"/>
      <c r="R165" s="533"/>
      <c r="S165" s="533"/>
      <c r="T165" s="533"/>
      <c r="U165" s="533"/>
      <c r="V165" s="533"/>
      <c r="W165" s="533"/>
      <c r="X165" s="533"/>
      <c r="Y165" s="533"/>
      <c r="Z165" s="533"/>
      <c r="AA165" s="533"/>
      <c r="AB165" s="533"/>
      <c r="AC165" s="533"/>
      <c r="AD165" s="533"/>
      <c r="AE165" s="533"/>
      <c r="AF165" s="533"/>
      <c r="AG165" s="533"/>
      <c r="AH165" s="533"/>
      <c r="AI165" s="533"/>
      <c r="AJ165" s="533"/>
      <c r="AK165" s="533"/>
      <c r="AL165" s="533"/>
      <c r="AM165" s="533"/>
      <c r="AN165" s="533"/>
      <c r="AO165" s="533"/>
    </row>
    <row r="166" spans="1:41" ht="12.95" customHeight="1" x14ac:dyDescent="0.2">
      <c r="A166" s="533"/>
      <c r="B166" s="533"/>
      <c r="C166" s="533"/>
      <c r="D166" s="594"/>
      <c r="E166" s="629"/>
      <c r="F166" s="630"/>
      <c r="G166" s="630"/>
      <c r="H166" s="629"/>
      <c r="I166" s="533"/>
      <c r="J166" s="533"/>
      <c r="K166" s="533"/>
      <c r="L166" s="532"/>
      <c r="M166" s="631"/>
      <c r="N166" s="533"/>
      <c r="O166" s="533"/>
      <c r="P166" s="533"/>
      <c r="Q166" s="533"/>
      <c r="R166" s="533"/>
      <c r="S166" s="533"/>
      <c r="T166" s="533"/>
      <c r="U166" s="533"/>
      <c r="V166" s="533"/>
      <c r="W166" s="533"/>
      <c r="X166" s="533"/>
      <c r="Y166" s="533"/>
      <c r="Z166" s="533"/>
      <c r="AA166" s="533"/>
      <c r="AB166" s="533"/>
      <c r="AC166" s="533"/>
      <c r="AD166" s="533"/>
      <c r="AE166" s="533"/>
      <c r="AF166" s="533"/>
      <c r="AG166" s="533"/>
      <c r="AH166" s="533"/>
      <c r="AI166" s="533"/>
      <c r="AJ166" s="533"/>
      <c r="AK166" s="533"/>
      <c r="AL166" s="533"/>
      <c r="AM166" s="533"/>
      <c r="AN166" s="533"/>
      <c r="AO166" s="533"/>
    </row>
    <row r="167" spans="1:41" ht="12.95" customHeight="1" x14ac:dyDescent="0.2">
      <c r="A167" s="533"/>
      <c r="B167" s="533"/>
      <c r="C167" s="533"/>
      <c r="D167" s="594"/>
      <c r="E167" s="629"/>
      <c r="F167" s="630"/>
      <c r="G167" s="630"/>
      <c r="H167" s="629"/>
      <c r="I167" s="533"/>
      <c r="J167" s="533"/>
      <c r="K167" s="533"/>
      <c r="L167" s="532"/>
      <c r="M167" s="631"/>
      <c r="N167" s="533"/>
      <c r="O167" s="533"/>
      <c r="P167" s="533"/>
      <c r="Q167" s="533"/>
      <c r="R167" s="533"/>
      <c r="S167" s="533"/>
      <c r="T167" s="533"/>
      <c r="U167" s="533"/>
      <c r="V167" s="533"/>
      <c r="W167" s="533"/>
      <c r="X167" s="533"/>
      <c r="Y167" s="533"/>
      <c r="Z167" s="533"/>
      <c r="AA167" s="533"/>
      <c r="AB167" s="533"/>
      <c r="AC167" s="533"/>
      <c r="AD167" s="533"/>
      <c r="AE167" s="533"/>
      <c r="AF167" s="533"/>
      <c r="AG167" s="533"/>
      <c r="AH167" s="533"/>
      <c r="AI167" s="533"/>
      <c r="AJ167" s="533"/>
      <c r="AK167" s="533"/>
      <c r="AL167" s="533"/>
      <c r="AM167" s="533"/>
      <c r="AN167" s="533"/>
      <c r="AO167" s="533"/>
    </row>
    <row r="168" spans="1:41" ht="12.95" customHeight="1" x14ac:dyDescent="0.2">
      <c r="A168" s="533"/>
      <c r="B168" s="533"/>
      <c r="C168" s="533"/>
      <c r="D168" s="594"/>
      <c r="E168" s="629"/>
      <c r="F168" s="630"/>
      <c r="G168" s="630"/>
      <c r="H168" s="629"/>
      <c r="I168" s="533"/>
      <c r="J168" s="533"/>
      <c r="K168" s="533"/>
      <c r="L168" s="532"/>
      <c r="M168" s="631"/>
      <c r="N168" s="533"/>
      <c r="O168" s="533"/>
      <c r="P168" s="533"/>
      <c r="Q168" s="533"/>
      <c r="R168" s="533"/>
      <c r="S168" s="533"/>
      <c r="T168" s="533"/>
      <c r="U168" s="533"/>
      <c r="V168" s="533"/>
      <c r="W168" s="533"/>
      <c r="X168" s="533"/>
      <c r="Y168" s="533"/>
      <c r="Z168" s="533"/>
      <c r="AA168" s="533"/>
      <c r="AB168" s="533"/>
      <c r="AC168" s="533"/>
      <c r="AD168" s="533"/>
      <c r="AE168" s="533"/>
      <c r="AF168" s="533"/>
      <c r="AG168" s="533"/>
      <c r="AH168" s="533"/>
      <c r="AI168" s="533"/>
      <c r="AJ168" s="533"/>
      <c r="AK168" s="533"/>
      <c r="AL168" s="533"/>
      <c r="AM168" s="533"/>
      <c r="AN168" s="533"/>
      <c r="AO168" s="533"/>
    </row>
    <row r="169" spans="1:41" ht="12.95" customHeight="1" x14ac:dyDescent="0.2">
      <c r="A169" s="533"/>
      <c r="B169" s="533"/>
      <c r="C169" s="533"/>
      <c r="D169" s="594"/>
      <c r="E169" s="629"/>
      <c r="F169" s="630"/>
      <c r="G169" s="630"/>
      <c r="H169" s="629"/>
      <c r="I169" s="533"/>
      <c r="J169" s="533"/>
      <c r="K169" s="533"/>
      <c r="L169" s="532"/>
      <c r="M169" s="631"/>
      <c r="N169" s="533"/>
      <c r="O169" s="533"/>
      <c r="P169" s="533"/>
      <c r="Q169" s="533"/>
      <c r="R169" s="533"/>
      <c r="S169" s="533"/>
      <c r="T169" s="533"/>
      <c r="U169" s="533"/>
      <c r="V169" s="533"/>
      <c r="W169" s="533"/>
      <c r="X169" s="533"/>
      <c r="Y169" s="533"/>
      <c r="Z169" s="533"/>
      <c r="AA169" s="533"/>
      <c r="AB169" s="533"/>
      <c r="AC169" s="533"/>
      <c r="AD169" s="533"/>
      <c r="AE169" s="533"/>
      <c r="AF169" s="533"/>
      <c r="AG169" s="533"/>
      <c r="AH169" s="533"/>
      <c r="AI169" s="533"/>
      <c r="AJ169" s="533"/>
      <c r="AK169" s="533"/>
      <c r="AL169" s="533"/>
      <c r="AM169" s="533"/>
      <c r="AN169" s="533"/>
      <c r="AO169" s="533"/>
    </row>
    <row r="170" spans="1:41" ht="12.95" customHeight="1" x14ac:dyDescent="0.2">
      <c r="A170" s="533"/>
      <c r="B170" s="533"/>
      <c r="C170" s="533"/>
      <c r="D170" s="594"/>
      <c r="E170" s="629"/>
      <c r="F170" s="630"/>
      <c r="G170" s="630"/>
      <c r="H170" s="629"/>
      <c r="I170" s="533"/>
      <c r="J170" s="533"/>
      <c r="K170" s="533"/>
      <c r="L170" s="532"/>
      <c r="M170" s="631"/>
      <c r="N170" s="533"/>
      <c r="O170" s="533"/>
      <c r="P170" s="533"/>
      <c r="Q170" s="533"/>
      <c r="R170" s="533"/>
      <c r="S170" s="533"/>
      <c r="T170" s="533"/>
      <c r="U170" s="533"/>
      <c r="V170" s="533"/>
      <c r="W170" s="533"/>
      <c r="X170" s="533"/>
      <c r="Y170" s="533"/>
      <c r="Z170" s="533"/>
      <c r="AA170" s="533"/>
      <c r="AB170" s="533"/>
      <c r="AC170" s="533"/>
      <c r="AD170" s="533"/>
      <c r="AE170" s="533"/>
      <c r="AF170" s="533"/>
      <c r="AG170" s="533"/>
      <c r="AH170" s="533"/>
      <c r="AI170" s="533"/>
      <c r="AJ170" s="533"/>
      <c r="AK170" s="533"/>
      <c r="AL170" s="533"/>
      <c r="AM170" s="533"/>
      <c r="AN170" s="533"/>
      <c r="AO170" s="533"/>
    </row>
    <row r="171" spans="1:41" ht="12.95" customHeight="1" x14ac:dyDescent="0.2">
      <c r="A171" s="533"/>
      <c r="B171" s="533"/>
      <c r="C171" s="533"/>
      <c r="D171" s="594"/>
      <c r="E171" s="629"/>
      <c r="F171" s="630"/>
      <c r="G171" s="630"/>
      <c r="H171" s="629"/>
      <c r="I171" s="533"/>
      <c r="J171" s="533"/>
      <c r="K171" s="533"/>
      <c r="L171" s="532"/>
      <c r="M171" s="631"/>
      <c r="N171" s="533"/>
      <c r="O171" s="533"/>
      <c r="P171" s="533"/>
      <c r="Q171" s="533"/>
      <c r="R171" s="533"/>
      <c r="S171" s="533"/>
      <c r="T171" s="533"/>
      <c r="U171" s="533"/>
      <c r="V171" s="533"/>
      <c r="W171" s="533"/>
      <c r="X171" s="533"/>
      <c r="Y171" s="533"/>
      <c r="Z171" s="533"/>
      <c r="AA171" s="533"/>
      <c r="AB171" s="533"/>
      <c r="AC171" s="533"/>
      <c r="AD171" s="533"/>
      <c r="AE171" s="533"/>
      <c r="AF171" s="533"/>
      <c r="AG171" s="533"/>
      <c r="AH171" s="533"/>
      <c r="AI171" s="533"/>
      <c r="AJ171" s="533"/>
      <c r="AK171" s="533"/>
      <c r="AL171" s="533"/>
      <c r="AM171" s="533"/>
      <c r="AN171" s="533"/>
      <c r="AO171" s="533"/>
    </row>
    <row r="172" spans="1:41" ht="12.95" customHeight="1" x14ac:dyDescent="0.2">
      <c r="A172" s="533"/>
      <c r="B172" s="533"/>
      <c r="C172" s="533"/>
      <c r="D172" s="594"/>
      <c r="E172" s="629"/>
      <c r="F172" s="630"/>
      <c r="G172" s="630"/>
      <c r="H172" s="629"/>
      <c r="I172" s="533"/>
      <c r="J172" s="533"/>
      <c r="K172" s="533"/>
      <c r="L172" s="532"/>
      <c r="M172" s="631"/>
      <c r="N172" s="533"/>
      <c r="O172" s="533"/>
      <c r="P172" s="533"/>
      <c r="Q172" s="533"/>
      <c r="R172" s="533"/>
      <c r="S172" s="533"/>
      <c r="T172" s="533"/>
      <c r="U172" s="533"/>
      <c r="V172" s="533"/>
      <c r="W172" s="533"/>
      <c r="X172" s="533"/>
      <c r="Y172" s="533"/>
      <c r="Z172" s="533"/>
      <c r="AA172" s="533"/>
      <c r="AB172" s="533"/>
      <c r="AC172" s="533"/>
      <c r="AD172" s="533"/>
      <c r="AE172" s="533"/>
      <c r="AF172" s="533"/>
      <c r="AG172" s="533"/>
      <c r="AH172" s="533"/>
      <c r="AI172" s="533"/>
      <c r="AJ172" s="533"/>
      <c r="AK172" s="533"/>
      <c r="AL172" s="533"/>
      <c r="AM172" s="533"/>
      <c r="AN172" s="533"/>
      <c r="AO172" s="533"/>
    </row>
    <row r="173" spans="1:41" ht="12.95" customHeight="1" x14ac:dyDescent="0.2">
      <c r="A173" s="533"/>
      <c r="B173" s="533"/>
      <c r="C173" s="533"/>
      <c r="D173" s="594"/>
      <c r="E173" s="629"/>
      <c r="F173" s="630"/>
      <c r="G173" s="630"/>
      <c r="H173" s="629"/>
      <c r="I173" s="533"/>
      <c r="J173" s="533"/>
      <c r="K173" s="533"/>
      <c r="L173" s="532"/>
      <c r="M173" s="631"/>
      <c r="N173" s="533"/>
      <c r="O173" s="533"/>
      <c r="P173" s="533"/>
      <c r="Q173" s="533"/>
      <c r="R173" s="533"/>
      <c r="S173" s="533"/>
      <c r="T173" s="533"/>
      <c r="U173" s="533"/>
      <c r="V173" s="533"/>
      <c r="W173" s="533"/>
      <c r="X173" s="533"/>
      <c r="Y173" s="533"/>
      <c r="Z173" s="533"/>
      <c r="AA173" s="533"/>
      <c r="AB173" s="533"/>
      <c r="AC173" s="533"/>
      <c r="AD173" s="533"/>
      <c r="AE173" s="533"/>
      <c r="AF173" s="533"/>
      <c r="AG173" s="533"/>
      <c r="AH173" s="533"/>
      <c r="AI173" s="533"/>
      <c r="AJ173" s="533"/>
      <c r="AK173" s="533"/>
      <c r="AL173" s="533"/>
      <c r="AM173" s="533"/>
      <c r="AN173" s="533"/>
      <c r="AO173" s="533"/>
    </row>
    <row r="174" spans="1:41" ht="12.95" customHeight="1" x14ac:dyDescent="0.2">
      <c r="A174" s="533"/>
      <c r="B174" s="533"/>
      <c r="C174" s="533"/>
      <c r="D174" s="594"/>
      <c r="E174" s="629"/>
      <c r="F174" s="630"/>
      <c r="G174" s="630"/>
      <c r="H174" s="629"/>
      <c r="I174" s="533"/>
      <c r="J174" s="533"/>
      <c r="K174" s="533"/>
      <c r="L174" s="532"/>
      <c r="M174" s="631"/>
      <c r="N174" s="533"/>
      <c r="O174" s="533"/>
      <c r="P174" s="533"/>
      <c r="Q174" s="533"/>
      <c r="R174" s="533"/>
      <c r="S174" s="533"/>
      <c r="T174" s="533"/>
      <c r="U174" s="533"/>
      <c r="V174" s="533"/>
      <c r="W174" s="533"/>
      <c r="X174" s="533"/>
      <c r="Y174" s="533"/>
      <c r="Z174" s="533"/>
      <c r="AA174" s="533"/>
      <c r="AB174" s="533"/>
      <c r="AC174" s="533"/>
      <c r="AD174" s="533"/>
      <c r="AE174" s="533"/>
      <c r="AF174" s="533"/>
      <c r="AG174" s="533"/>
      <c r="AH174" s="533"/>
      <c r="AI174" s="533"/>
      <c r="AJ174" s="533"/>
      <c r="AK174" s="533"/>
      <c r="AL174" s="533"/>
      <c r="AM174" s="533"/>
      <c r="AN174" s="533"/>
      <c r="AO174" s="533"/>
    </row>
    <row r="175" spans="1:41" ht="12.95" customHeight="1" x14ac:dyDescent="0.2">
      <c r="A175" s="533"/>
      <c r="B175" s="533"/>
      <c r="C175" s="533"/>
      <c r="D175" s="594"/>
      <c r="E175" s="629"/>
      <c r="F175" s="630"/>
      <c r="G175" s="630"/>
      <c r="H175" s="629"/>
      <c r="I175" s="533"/>
      <c r="J175" s="533"/>
      <c r="K175" s="533"/>
      <c r="L175" s="532"/>
      <c r="M175" s="631"/>
      <c r="N175" s="533"/>
      <c r="O175" s="533"/>
      <c r="P175" s="533"/>
      <c r="Q175" s="533"/>
      <c r="R175" s="533"/>
      <c r="S175" s="533"/>
      <c r="T175" s="533"/>
      <c r="U175" s="533"/>
      <c r="V175" s="533"/>
      <c r="W175" s="533"/>
      <c r="X175" s="533"/>
      <c r="Y175" s="533"/>
      <c r="Z175" s="533"/>
      <c r="AA175" s="533"/>
      <c r="AB175" s="533"/>
      <c r="AC175" s="533"/>
      <c r="AD175" s="533"/>
      <c r="AE175" s="533"/>
      <c r="AF175" s="533"/>
      <c r="AG175" s="533"/>
      <c r="AH175" s="533"/>
      <c r="AI175" s="533"/>
      <c r="AJ175" s="533"/>
      <c r="AK175" s="533"/>
      <c r="AL175" s="533"/>
      <c r="AM175" s="533"/>
      <c r="AN175" s="533"/>
      <c r="AO175" s="533"/>
    </row>
    <row r="176" spans="1:41" ht="12.95" customHeight="1" x14ac:dyDescent="0.2">
      <c r="A176" s="533"/>
      <c r="B176" s="533"/>
      <c r="C176" s="533"/>
      <c r="D176" s="594"/>
      <c r="E176" s="629"/>
      <c r="F176" s="630"/>
      <c r="G176" s="630"/>
      <c r="H176" s="629"/>
      <c r="I176" s="533"/>
      <c r="J176" s="533"/>
      <c r="K176" s="533"/>
      <c r="L176" s="532"/>
      <c r="M176" s="631"/>
      <c r="N176" s="533"/>
      <c r="O176" s="533"/>
      <c r="P176" s="533"/>
      <c r="Q176" s="533"/>
      <c r="R176" s="533"/>
      <c r="S176" s="533"/>
      <c r="T176" s="533"/>
      <c r="U176" s="533"/>
      <c r="V176" s="533"/>
      <c r="W176" s="533"/>
      <c r="X176" s="533"/>
      <c r="Y176" s="533"/>
      <c r="Z176" s="533"/>
      <c r="AA176" s="533"/>
      <c r="AB176" s="533"/>
      <c r="AC176" s="533"/>
      <c r="AD176" s="533"/>
      <c r="AE176" s="533"/>
      <c r="AF176" s="533"/>
      <c r="AG176" s="533"/>
      <c r="AH176" s="533"/>
      <c r="AI176" s="533"/>
      <c r="AJ176" s="533"/>
      <c r="AK176" s="533"/>
      <c r="AL176" s="533"/>
      <c r="AM176" s="533"/>
      <c r="AN176" s="533"/>
      <c r="AO176" s="533"/>
    </row>
    <row r="177" spans="1:41" ht="12.95" customHeight="1" x14ac:dyDescent="0.2">
      <c r="A177" s="533"/>
      <c r="B177" s="533"/>
      <c r="C177" s="533"/>
      <c r="D177" s="594"/>
      <c r="E177" s="629"/>
      <c r="F177" s="630"/>
      <c r="G177" s="630"/>
      <c r="H177" s="629"/>
      <c r="I177" s="533"/>
      <c r="J177" s="533"/>
      <c r="K177" s="533"/>
      <c r="L177" s="532"/>
      <c r="M177" s="631"/>
      <c r="N177" s="533"/>
      <c r="O177" s="533"/>
      <c r="P177" s="533"/>
      <c r="Q177" s="533"/>
      <c r="R177" s="533"/>
      <c r="S177" s="533"/>
      <c r="T177" s="533"/>
      <c r="U177" s="533"/>
      <c r="V177" s="533"/>
      <c r="W177" s="533"/>
      <c r="X177" s="533"/>
      <c r="Y177" s="533"/>
      <c r="Z177" s="533"/>
      <c r="AA177" s="533"/>
      <c r="AB177" s="533"/>
      <c r="AC177" s="533"/>
      <c r="AD177" s="533"/>
      <c r="AE177" s="533"/>
      <c r="AF177" s="533"/>
      <c r="AG177" s="533"/>
      <c r="AH177" s="533"/>
      <c r="AI177" s="533"/>
      <c r="AJ177" s="533"/>
      <c r="AK177" s="533"/>
      <c r="AL177" s="533"/>
      <c r="AM177" s="533"/>
      <c r="AN177" s="533"/>
      <c r="AO177" s="533"/>
    </row>
    <row r="178" spans="1:41" ht="12.95" customHeight="1" x14ac:dyDescent="0.2">
      <c r="A178" s="533"/>
      <c r="B178" s="533"/>
      <c r="C178" s="533"/>
      <c r="D178" s="594"/>
      <c r="E178" s="629"/>
      <c r="F178" s="630"/>
      <c r="G178" s="630"/>
      <c r="H178" s="629"/>
      <c r="I178" s="533"/>
      <c r="J178" s="533"/>
      <c r="K178" s="533"/>
      <c r="L178" s="532"/>
      <c r="M178" s="631"/>
      <c r="N178" s="533"/>
      <c r="O178" s="533"/>
      <c r="P178" s="533"/>
      <c r="Q178" s="533"/>
      <c r="R178" s="533"/>
      <c r="S178" s="533"/>
      <c r="T178" s="533"/>
      <c r="U178" s="533"/>
      <c r="V178" s="533"/>
      <c r="W178" s="533"/>
      <c r="X178" s="533"/>
      <c r="Y178" s="533"/>
      <c r="Z178" s="533"/>
      <c r="AA178" s="533"/>
      <c r="AB178" s="533"/>
      <c r="AC178" s="533"/>
      <c r="AD178" s="533"/>
      <c r="AE178" s="533"/>
      <c r="AF178" s="533"/>
      <c r="AG178" s="533"/>
      <c r="AH178" s="533"/>
      <c r="AI178" s="533"/>
      <c r="AJ178" s="533"/>
      <c r="AK178" s="533"/>
      <c r="AL178" s="533"/>
      <c r="AM178" s="533"/>
      <c r="AN178" s="533"/>
      <c r="AO178" s="533"/>
    </row>
    <row r="179" spans="1:41" ht="12.95" customHeight="1" x14ac:dyDescent="0.2">
      <c r="A179" s="533"/>
      <c r="B179" s="533"/>
      <c r="C179" s="533"/>
      <c r="D179" s="594"/>
      <c r="E179" s="629"/>
      <c r="F179" s="630"/>
      <c r="G179" s="630"/>
      <c r="H179" s="629"/>
      <c r="I179" s="533"/>
      <c r="J179" s="533"/>
      <c r="K179" s="533"/>
      <c r="L179" s="532"/>
      <c r="M179" s="631"/>
      <c r="N179" s="533"/>
      <c r="O179" s="533"/>
      <c r="P179" s="533"/>
      <c r="Q179" s="533"/>
      <c r="R179" s="533"/>
      <c r="S179" s="533"/>
      <c r="T179" s="533"/>
      <c r="U179" s="533"/>
      <c r="V179" s="533"/>
      <c r="W179" s="533"/>
      <c r="X179" s="533"/>
      <c r="Y179" s="533"/>
      <c r="Z179" s="533"/>
      <c r="AA179" s="533"/>
      <c r="AB179" s="533"/>
      <c r="AC179" s="533"/>
      <c r="AD179" s="533"/>
      <c r="AE179" s="533"/>
      <c r="AF179" s="533"/>
      <c r="AG179" s="533"/>
      <c r="AH179" s="533"/>
      <c r="AI179" s="533"/>
      <c r="AJ179" s="533"/>
      <c r="AK179" s="533"/>
      <c r="AL179" s="533"/>
      <c r="AM179" s="533"/>
      <c r="AN179" s="533"/>
      <c r="AO179" s="533"/>
    </row>
    <row r="180" spans="1:41" ht="12.95" customHeight="1" x14ac:dyDescent="0.2">
      <c r="A180" s="533"/>
      <c r="B180" s="533"/>
      <c r="C180" s="533"/>
      <c r="D180" s="594"/>
      <c r="E180" s="629"/>
      <c r="F180" s="630"/>
      <c r="G180" s="630"/>
      <c r="H180" s="629"/>
      <c r="I180" s="533"/>
      <c r="J180" s="533"/>
      <c r="K180" s="533"/>
      <c r="L180" s="532"/>
      <c r="M180" s="631"/>
      <c r="N180" s="533"/>
      <c r="O180" s="533"/>
      <c r="P180" s="533"/>
      <c r="Q180" s="533"/>
      <c r="R180" s="533"/>
      <c r="S180" s="533"/>
      <c r="T180" s="533"/>
      <c r="U180" s="533"/>
      <c r="V180" s="533"/>
      <c r="W180" s="533"/>
      <c r="X180" s="533"/>
      <c r="Y180" s="533"/>
      <c r="Z180" s="533"/>
      <c r="AA180" s="533"/>
      <c r="AB180" s="533"/>
      <c r="AC180" s="533"/>
      <c r="AD180" s="533"/>
      <c r="AE180" s="533"/>
      <c r="AF180" s="533"/>
      <c r="AG180" s="533"/>
      <c r="AH180" s="533"/>
      <c r="AI180" s="533"/>
      <c r="AJ180" s="533"/>
      <c r="AK180" s="533"/>
      <c r="AL180" s="533"/>
      <c r="AM180" s="533"/>
      <c r="AN180" s="533"/>
      <c r="AO180" s="533"/>
    </row>
    <row r="181" spans="1:41" ht="12.95" customHeight="1" x14ac:dyDescent="0.2">
      <c r="A181" s="533"/>
      <c r="B181" s="533"/>
      <c r="C181" s="533"/>
      <c r="D181" s="594"/>
      <c r="E181" s="629"/>
      <c r="F181" s="630"/>
      <c r="G181" s="630"/>
      <c r="H181" s="629"/>
      <c r="I181" s="533"/>
      <c r="J181" s="533"/>
      <c r="K181" s="533"/>
      <c r="L181" s="532"/>
      <c r="M181" s="631"/>
      <c r="N181" s="533"/>
      <c r="O181" s="533"/>
      <c r="P181" s="533"/>
      <c r="Q181" s="533"/>
      <c r="R181" s="533"/>
      <c r="S181" s="533"/>
      <c r="T181" s="533"/>
      <c r="U181" s="533"/>
      <c r="V181" s="533"/>
      <c r="W181" s="533"/>
      <c r="X181" s="533"/>
      <c r="Y181" s="533"/>
      <c r="Z181" s="533"/>
      <c r="AA181" s="533"/>
      <c r="AB181" s="533"/>
      <c r="AC181" s="533"/>
      <c r="AD181" s="533"/>
      <c r="AE181" s="533"/>
      <c r="AF181" s="533"/>
      <c r="AG181" s="533"/>
      <c r="AH181" s="533"/>
      <c r="AI181" s="533"/>
      <c r="AJ181" s="533"/>
      <c r="AK181" s="533"/>
      <c r="AL181" s="533"/>
      <c r="AM181" s="533"/>
      <c r="AN181" s="533"/>
      <c r="AO181" s="533"/>
    </row>
    <row r="182" spans="1:41" ht="12.95" customHeight="1" x14ac:dyDescent="0.2">
      <c r="A182" s="533"/>
      <c r="B182" s="533"/>
      <c r="C182" s="533"/>
      <c r="D182" s="594"/>
      <c r="E182" s="629"/>
      <c r="F182" s="630"/>
      <c r="G182" s="630"/>
      <c r="H182" s="629"/>
      <c r="I182" s="533"/>
      <c r="J182" s="533"/>
      <c r="K182" s="533"/>
      <c r="L182" s="532"/>
      <c r="M182" s="631"/>
      <c r="N182" s="533"/>
      <c r="O182" s="533"/>
      <c r="P182" s="533"/>
      <c r="Q182" s="533"/>
      <c r="R182" s="533"/>
      <c r="S182" s="533"/>
      <c r="T182" s="533"/>
      <c r="U182" s="533"/>
      <c r="V182" s="533"/>
      <c r="W182" s="533"/>
      <c r="X182" s="533"/>
      <c r="Y182" s="533"/>
      <c r="Z182" s="533"/>
      <c r="AA182" s="533"/>
      <c r="AB182" s="533"/>
      <c r="AC182" s="533"/>
      <c r="AD182" s="533"/>
      <c r="AE182" s="533"/>
      <c r="AF182" s="533"/>
      <c r="AG182" s="533"/>
      <c r="AH182" s="533"/>
      <c r="AI182" s="533"/>
      <c r="AJ182" s="533"/>
      <c r="AK182" s="533"/>
      <c r="AL182" s="533"/>
      <c r="AM182" s="533"/>
      <c r="AN182" s="533"/>
      <c r="AO182" s="533"/>
    </row>
    <row r="183" spans="1:41" ht="12.95" customHeight="1" x14ac:dyDescent="0.2">
      <c r="A183" s="533"/>
      <c r="B183" s="533"/>
      <c r="C183" s="533"/>
      <c r="D183" s="594"/>
      <c r="E183" s="629"/>
      <c r="F183" s="630"/>
      <c r="G183" s="630"/>
      <c r="H183" s="629"/>
      <c r="I183" s="533"/>
      <c r="J183" s="533"/>
      <c r="K183" s="533"/>
      <c r="L183" s="532"/>
      <c r="M183" s="631"/>
      <c r="N183" s="533"/>
      <c r="O183" s="533"/>
      <c r="P183" s="533"/>
      <c r="Q183" s="533"/>
      <c r="R183" s="533"/>
      <c r="S183" s="533"/>
      <c r="T183" s="533"/>
      <c r="U183" s="533"/>
      <c r="V183" s="533"/>
      <c r="W183" s="533"/>
      <c r="X183" s="533"/>
      <c r="Y183" s="533"/>
      <c r="Z183" s="533"/>
      <c r="AA183" s="533"/>
      <c r="AB183" s="533"/>
      <c r="AC183" s="533"/>
      <c r="AD183" s="533"/>
      <c r="AE183" s="533"/>
      <c r="AF183" s="533"/>
      <c r="AG183" s="533"/>
      <c r="AH183" s="533"/>
      <c r="AI183" s="533"/>
      <c r="AJ183" s="533"/>
      <c r="AK183" s="533"/>
      <c r="AL183" s="533"/>
      <c r="AM183" s="533"/>
      <c r="AN183" s="533"/>
      <c r="AO183" s="533"/>
    </row>
    <row r="184" spans="1:41" ht="12.95" customHeight="1" x14ac:dyDescent="0.2">
      <c r="A184" s="533"/>
      <c r="B184" s="533"/>
      <c r="C184" s="533"/>
      <c r="D184" s="594"/>
      <c r="E184" s="629"/>
      <c r="F184" s="630"/>
      <c r="G184" s="630"/>
      <c r="H184" s="629"/>
      <c r="I184" s="533"/>
      <c r="J184" s="533"/>
      <c r="K184" s="533"/>
      <c r="L184" s="532"/>
      <c r="M184" s="631"/>
      <c r="N184" s="533"/>
      <c r="O184" s="533"/>
      <c r="P184" s="533"/>
      <c r="Q184" s="533"/>
      <c r="R184" s="533"/>
      <c r="S184" s="533"/>
      <c r="T184" s="533"/>
      <c r="U184" s="533"/>
      <c r="V184" s="533"/>
      <c r="W184" s="533"/>
      <c r="X184" s="533"/>
      <c r="Y184" s="533"/>
      <c r="Z184" s="533"/>
      <c r="AA184" s="533"/>
      <c r="AB184" s="533"/>
      <c r="AC184" s="533"/>
      <c r="AD184" s="533"/>
      <c r="AE184" s="533"/>
      <c r="AF184" s="533"/>
      <c r="AG184" s="533"/>
      <c r="AH184" s="533"/>
      <c r="AI184" s="533"/>
      <c r="AJ184" s="533"/>
      <c r="AK184" s="533"/>
      <c r="AL184" s="533"/>
      <c r="AM184" s="533"/>
      <c r="AN184" s="533"/>
      <c r="AO184" s="533"/>
    </row>
    <row r="185" spans="1:41" ht="12.95" customHeight="1" x14ac:dyDescent="0.2">
      <c r="A185" s="533"/>
      <c r="B185" s="533"/>
      <c r="C185" s="533"/>
      <c r="D185" s="594"/>
      <c r="E185" s="629"/>
      <c r="F185" s="630"/>
      <c r="G185" s="630"/>
      <c r="H185" s="629"/>
      <c r="I185" s="533"/>
      <c r="J185" s="533"/>
      <c r="K185" s="533"/>
      <c r="L185" s="532"/>
      <c r="M185" s="631"/>
      <c r="N185" s="533"/>
      <c r="O185" s="533"/>
      <c r="P185" s="533"/>
      <c r="Q185" s="533"/>
      <c r="R185" s="533"/>
      <c r="S185" s="533"/>
      <c r="T185" s="533"/>
      <c r="U185" s="533"/>
      <c r="V185" s="533"/>
      <c r="W185" s="533"/>
      <c r="X185" s="533"/>
      <c r="Y185" s="533"/>
      <c r="Z185" s="533"/>
      <c r="AA185" s="533"/>
      <c r="AB185" s="533"/>
      <c r="AC185" s="533"/>
      <c r="AD185" s="533"/>
      <c r="AE185" s="533"/>
      <c r="AF185" s="533"/>
      <c r="AG185" s="533"/>
      <c r="AH185" s="533"/>
      <c r="AI185" s="533"/>
      <c r="AJ185" s="533"/>
      <c r="AK185" s="533"/>
      <c r="AL185" s="533"/>
      <c r="AM185" s="533"/>
      <c r="AN185" s="533"/>
      <c r="AO185" s="533"/>
    </row>
    <row r="186" spans="1:41" ht="12.95" customHeight="1" x14ac:dyDescent="0.2">
      <c r="A186" s="533"/>
      <c r="B186" s="533"/>
      <c r="C186" s="533"/>
      <c r="D186" s="594"/>
      <c r="E186" s="629"/>
      <c r="F186" s="630"/>
      <c r="G186" s="630"/>
      <c r="H186" s="629"/>
      <c r="I186" s="533"/>
      <c r="J186" s="533"/>
      <c r="K186" s="533"/>
      <c r="L186" s="532"/>
      <c r="M186" s="631"/>
      <c r="N186" s="533"/>
      <c r="O186" s="533"/>
      <c r="P186" s="533"/>
      <c r="Q186" s="533"/>
      <c r="R186" s="533"/>
      <c r="S186" s="533"/>
      <c r="T186" s="533"/>
      <c r="U186" s="533"/>
      <c r="V186" s="533"/>
      <c r="W186" s="533"/>
      <c r="X186" s="533"/>
      <c r="Y186" s="533"/>
      <c r="Z186" s="533"/>
      <c r="AA186" s="533"/>
      <c r="AB186" s="533"/>
      <c r="AC186" s="533"/>
      <c r="AD186" s="533"/>
      <c r="AE186" s="533"/>
      <c r="AF186" s="533"/>
      <c r="AG186" s="533"/>
      <c r="AH186" s="533"/>
      <c r="AI186" s="533"/>
      <c r="AJ186" s="533"/>
      <c r="AK186" s="533"/>
      <c r="AL186" s="533"/>
      <c r="AM186" s="533"/>
      <c r="AN186" s="533"/>
      <c r="AO186" s="533"/>
    </row>
    <row r="187" spans="1:41" ht="12.95" customHeight="1" x14ac:dyDescent="0.2">
      <c r="A187" s="533"/>
      <c r="B187" s="533"/>
      <c r="C187" s="533"/>
      <c r="D187" s="594"/>
      <c r="E187" s="629"/>
      <c r="F187" s="630"/>
      <c r="G187" s="630"/>
      <c r="H187" s="629"/>
      <c r="I187" s="533"/>
      <c r="J187" s="533"/>
      <c r="K187" s="533"/>
      <c r="L187" s="532"/>
      <c r="M187" s="631"/>
      <c r="N187" s="533"/>
      <c r="O187" s="533"/>
      <c r="P187" s="533"/>
      <c r="Q187" s="533"/>
      <c r="R187" s="533"/>
      <c r="S187" s="533"/>
      <c r="T187" s="533"/>
      <c r="U187" s="533"/>
      <c r="V187" s="533"/>
      <c r="W187" s="533"/>
      <c r="X187" s="533"/>
      <c r="Y187" s="533"/>
      <c r="Z187" s="533"/>
      <c r="AA187" s="533"/>
      <c r="AB187" s="533"/>
      <c r="AC187" s="533"/>
      <c r="AD187" s="533"/>
      <c r="AE187" s="533"/>
      <c r="AF187" s="533"/>
      <c r="AG187" s="533"/>
      <c r="AH187" s="533"/>
      <c r="AI187" s="533"/>
      <c r="AJ187" s="533"/>
      <c r="AK187" s="533"/>
      <c r="AL187" s="533"/>
      <c r="AM187" s="533"/>
      <c r="AN187" s="533"/>
      <c r="AO187" s="533"/>
    </row>
    <row r="188" spans="1:41" ht="12.95" customHeight="1" x14ac:dyDescent="0.2">
      <c r="A188" s="533"/>
      <c r="B188" s="533"/>
      <c r="C188" s="533"/>
      <c r="D188" s="594"/>
      <c r="E188" s="629"/>
      <c r="F188" s="630"/>
      <c r="G188" s="630"/>
      <c r="H188" s="629"/>
      <c r="I188" s="533"/>
      <c r="J188" s="533"/>
      <c r="K188" s="533"/>
      <c r="L188" s="532"/>
      <c r="M188" s="631"/>
      <c r="N188" s="533"/>
      <c r="O188" s="533"/>
      <c r="P188" s="533"/>
      <c r="Q188" s="533"/>
      <c r="R188" s="533"/>
      <c r="S188" s="533"/>
      <c r="T188" s="533"/>
      <c r="U188" s="533"/>
      <c r="V188" s="533"/>
      <c r="W188" s="533"/>
      <c r="X188" s="533"/>
      <c r="Y188" s="533"/>
      <c r="Z188" s="533"/>
      <c r="AA188" s="533"/>
      <c r="AB188" s="533"/>
      <c r="AC188" s="533"/>
      <c r="AD188" s="533"/>
      <c r="AE188" s="533"/>
      <c r="AF188" s="533"/>
      <c r="AG188" s="533"/>
      <c r="AH188" s="533"/>
      <c r="AI188" s="533"/>
      <c r="AJ188" s="533"/>
      <c r="AK188" s="533"/>
      <c r="AL188" s="533"/>
      <c r="AM188" s="533"/>
      <c r="AN188" s="533"/>
      <c r="AO188" s="533"/>
    </row>
    <row r="189" spans="1:41" ht="12.95" customHeight="1" x14ac:dyDescent="0.2">
      <c r="A189" s="533"/>
      <c r="B189" s="533"/>
      <c r="C189" s="533"/>
      <c r="D189" s="594"/>
      <c r="E189" s="629"/>
      <c r="F189" s="630"/>
      <c r="G189" s="630"/>
      <c r="H189" s="629"/>
      <c r="I189" s="533"/>
      <c r="J189" s="533"/>
      <c r="K189" s="533"/>
      <c r="L189" s="532"/>
      <c r="M189" s="631"/>
      <c r="N189" s="533"/>
      <c r="O189" s="533"/>
      <c r="P189" s="533"/>
      <c r="Q189" s="533"/>
      <c r="R189" s="533"/>
      <c r="S189" s="533"/>
      <c r="T189" s="533"/>
      <c r="U189" s="533"/>
      <c r="V189" s="533"/>
      <c r="W189" s="533"/>
      <c r="X189" s="533"/>
      <c r="Y189" s="533"/>
      <c r="Z189" s="533"/>
      <c r="AA189" s="533"/>
      <c r="AB189" s="533"/>
      <c r="AC189" s="533"/>
      <c r="AD189" s="533"/>
      <c r="AE189" s="533"/>
      <c r="AF189" s="533"/>
      <c r="AG189" s="533"/>
      <c r="AH189" s="533"/>
      <c r="AI189" s="533"/>
      <c r="AJ189" s="533"/>
      <c r="AK189" s="533"/>
      <c r="AL189" s="533"/>
      <c r="AM189" s="533"/>
      <c r="AN189" s="533"/>
      <c r="AO189" s="533"/>
    </row>
    <row r="190" spans="1:41" ht="12.95" customHeight="1" x14ac:dyDescent="0.2">
      <c r="A190" s="533"/>
      <c r="B190" s="533"/>
      <c r="C190" s="533"/>
      <c r="D190" s="594"/>
      <c r="E190" s="629"/>
      <c r="F190" s="630"/>
      <c r="G190" s="630"/>
      <c r="H190" s="629"/>
      <c r="I190" s="533"/>
      <c r="J190" s="533"/>
      <c r="K190" s="533"/>
      <c r="L190" s="532"/>
      <c r="M190" s="631"/>
      <c r="N190" s="533"/>
      <c r="O190" s="533"/>
      <c r="P190" s="533"/>
      <c r="Q190" s="533"/>
      <c r="R190" s="533"/>
      <c r="S190" s="533"/>
      <c r="T190" s="533"/>
      <c r="U190" s="533"/>
      <c r="V190" s="533"/>
      <c r="W190" s="533"/>
      <c r="X190" s="533"/>
      <c r="Y190" s="533"/>
      <c r="Z190" s="533"/>
      <c r="AA190" s="533"/>
      <c r="AB190" s="533"/>
      <c r="AC190" s="533"/>
      <c r="AD190" s="533"/>
      <c r="AE190" s="533"/>
      <c r="AF190" s="533"/>
      <c r="AG190" s="533"/>
      <c r="AH190" s="533"/>
      <c r="AI190" s="533"/>
      <c r="AJ190" s="533"/>
      <c r="AK190" s="533"/>
      <c r="AL190" s="533"/>
      <c r="AM190" s="533"/>
      <c r="AN190" s="533"/>
      <c r="AO190" s="533"/>
    </row>
    <row r="191" spans="1:41" ht="12.95" customHeight="1" x14ac:dyDescent="0.2">
      <c r="A191" s="533"/>
      <c r="B191" s="533"/>
      <c r="C191" s="533"/>
      <c r="D191" s="594"/>
      <c r="E191" s="629"/>
      <c r="F191" s="630"/>
      <c r="G191" s="630"/>
      <c r="H191" s="629"/>
      <c r="I191" s="533"/>
      <c r="J191" s="533"/>
      <c r="K191" s="533"/>
      <c r="L191" s="532"/>
      <c r="M191" s="631"/>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row>
    <row r="192" spans="1:41" ht="12.95" customHeight="1" x14ac:dyDescent="0.2">
      <c r="A192" s="533"/>
      <c r="B192" s="533"/>
      <c r="C192" s="533"/>
      <c r="D192" s="594"/>
      <c r="E192" s="629"/>
      <c r="F192" s="630"/>
      <c r="G192" s="630"/>
      <c r="H192" s="629"/>
      <c r="I192" s="533"/>
      <c r="J192" s="533"/>
      <c r="K192" s="533"/>
      <c r="L192" s="532"/>
      <c r="M192" s="631"/>
      <c r="N192" s="533"/>
      <c r="O192" s="533"/>
      <c r="P192" s="533"/>
      <c r="Q192" s="533"/>
      <c r="R192" s="533"/>
      <c r="S192" s="533"/>
      <c r="T192" s="533"/>
      <c r="U192" s="533"/>
      <c r="V192" s="533"/>
      <c r="W192" s="533"/>
      <c r="X192" s="533"/>
      <c r="Y192" s="533"/>
      <c r="Z192" s="533"/>
      <c r="AA192" s="533"/>
      <c r="AB192" s="533"/>
      <c r="AC192" s="533"/>
      <c r="AD192" s="533"/>
      <c r="AE192" s="533"/>
      <c r="AF192" s="533"/>
      <c r="AG192" s="533"/>
      <c r="AH192" s="533"/>
      <c r="AI192" s="533"/>
      <c r="AJ192" s="533"/>
      <c r="AK192" s="533"/>
      <c r="AL192" s="533"/>
      <c r="AM192" s="533"/>
      <c r="AN192" s="533"/>
      <c r="AO192" s="533"/>
    </row>
    <row r="193" spans="1:41" ht="12.95" customHeight="1" x14ac:dyDescent="0.2">
      <c r="A193" s="533"/>
      <c r="B193" s="533"/>
      <c r="C193" s="533"/>
      <c r="D193" s="594"/>
      <c r="E193" s="629"/>
      <c r="F193" s="630"/>
      <c r="G193" s="630"/>
      <c r="H193" s="629"/>
      <c r="I193" s="533"/>
      <c r="J193" s="533"/>
      <c r="K193" s="533"/>
      <c r="L193" s="532"/>
      <c r="M193" s="631"/>
      <c r="N193" s="533"/>
      <c r="O193" s="533"/>
      <c r="P193" s="533"/>
      <c r="Q193" s="533"/>
      <c r="R193" s="533"/>
      <c r="S193" s="533"/>
      <c r="T193" s="533"/>
      <c r="U193" s="533"/>
      <c r="V193" s="533"/>
      <c r="W193" s="533"/>
      <c r="X193" s="533"/>
      <c r="Y193" s="533"/>
      <c r="Z193" s="533"/>
      <c r="AA193" s="533"/>
      <c r="AB193" s="533"/>
      <c r="AC193" s="533"/>
      <c r="AD193" s="533"/>
      <c r="AE193" s="533"/>
      <c r="AF193" s="533"/>
      <c r="AG193" s="533"/>
      <c r="AH193" s="533"/>
      <c r="AI193" s="533"/>
      <c r="AJ193" s="533"/>
      <c r="AK193" s="533"/>
      <c r="AL193" s="533"/>
      <c r="AM193" s="533"/>
      <c r="AN193" s="533"/>
      <c r="AO193" s="533"/>
    </row>
    <row r="194" spans="1:41" ht="12.95" customHeight="1" x14ac:dyDescent="0.2">
      <c r="A194" s="533"/>
      <c r="B194" s="533"/>
      <c r="C194" s="533"/>
      <c r="D194" s="594"/>
      <c r="E194" s="629"/>
      <c r="F194" s="630"/>
      <c r="G194" s="630"/>
      <c r="H194" s="629"/>
      <c r="I194" s="533"/>
      <c r="J194" s="533"/>
      <c r="K194" s="533"/>
      <c r="L194" s="532"/>
      <c r="M194" s="631"/>
      <c r="N194" s="533"/>
      <c r="O194" s="533"/>
      <c r="P194" s="533"/>
      <c r="Q194" s="533"/>
      <c r="R194" s="533"/>
      <c r="S194" s="533"/>
      <c r="T194" s="533"/>
      <c r="U194" s="533"/>
      <c r="V194" s="533"/>
      <c r="W194" s="533"/>
      <c r="X194" s="533"/>
      <c r="Y194" s="533"/>
      <c r="Z194" s="533"/>
      <c r="AA194" s="533"/>
      <c r="AB194" s="533"/>
      <c r="AC194" s="533"/>
      <c r="AD194" s="533"/>
      <c r="AE194" s="533"/>
      <c r="AF194" s="533"/>
      <c r="AG194" s="533"/>
      <c r="AH194" s="533"/>
      <c r="AI194" s="533"/>
      <c r="AJ194" s="533"/>
      <c r="AK194" s="533"/>
      <c r="AL194" s="533"/>
      <c r="AM194" s="533"/>
      <c r="AN194" s="533"/>
      <c r="AO194" s="533"/>
    </row>
    <row r="195" spans="1:41" ht="12.95" customHeight="1" x14ac:dyDescent="0.2">
      <c r="A195" s="533"/>
      <c r="B195" s="533"/>
      <c r="C195" s="533"/>
      <c r="D195" s="594"/>
      <c r="E195" s="629"/>
      <c r="F195" s="630"/>
      <c r="G195" s="630"/>
      <c r="H195" s="629"/>
      <c r="I195" s="533"/>
      <c r="J195" s="533"/>
      <c r="K195" s="533"/>
      <c r="L195" s="532"/>
      <c r="M195" s="631"/>
      <c r="N195" s="533"/>
      <c r="O195" s="533"/>
      <c r="P195" s="533"/>
      <c r="Q195" s="533"/>
      <c r="R195" s="533"/>
      <c r="S195" s="533"/>
      <c r="T195" s="533"/>
      <c r="U195" s="533"/>
      <c r="V195" s="533"/>
      <c r="W195" s="533"/>
      <c r="X195" s="533"/>
      <c r="Y195" s="533"/>
      <c r="Z195" s="533"/>
      <c r="AA195" s="533"/>
      <c r="AB195" s="533"/>
      <c r="AC195" s="533"/>
      <c r="AD195" s="533"/>
      <c r="AE195" s="533"/>
      <c r="AF195" s="533"/>
      <c r="AG195" s="533"/>
      <c r="AH195" s="533"/>
      <c r="AI195" s="533"/>
      <c r="AJ195" s="533"/>
      <c r="AK195" s="533"/>
      <c r="AL195" s="533"/>
      <c r="AM195" s="533"/>
      <c r="AN195" s="533"/>
      <c r="AO195" s="533"/>
    </row>
    <row r="196" spans="1:41" ht="12.95" customHeight="1" x14ac:dyDescent="0.2">
      <c r="A196" s="533"/>
      <c r="B196" s="533"/>
      <c r="C196" s="533"/>
      <c r="D196" s="594"/>
      <c r="E196" s="629"/>
      <c r="F196" s="630"/>
      <c r="G196" s="630"/>
      <c r="H196" s="629"/>
      <c r="I196" s="533"/>
      <c r="J196" s="533"/>
      <c r="K196" s="533"/>
      <c r="L196" s="532"/>
      <c r="M196" s="631"/>
      <c r="N196" s="533"/>
      <c r="O196" s="533"/>
      <c r="P196" s="533"/>
      <c r="Q196" s="533"/>
      <c r="R196" s="533"/>
      <c r="S196" s="533"/>
      <c r="T196" s="533"/>
      <c r="U196" s="533"/>
      <c r="V196" s="533"/>
      <c r="W196" s="533"/>
      <c r="X196" s="533"/>
      <c r="Y196" s="533"/>
      <c r="Z196" s="533"/>
      <c r="AA196" s="533"/>
      <c r="AB196" s="533"/>
      <c r="AC196" s="533"/>
      <c r="AD196" s="533"/>
      <c r="AE196" s="533"/>
      <c r="AF196" s="533"/>
      <c r="AG196" s="533"/>
      <c r="AH196" s="533"/>
      <c r="AI196" s="533"/>
      <c r="AJ196" s="533"/>
      <c r="AK196" s="533"/>
      <c r="AL196" s="533"/>
      <c r="AM196" s="533"/>
      <c r="AN196" s="533"/>
      <c r="AO196" s="533"/>
    </row>
    <row r="197" spans="1:41" ht="12.95" customHeight="1" x14ac:dyDescent="0.2">
      <c r="A197" s="533"/>
      <c r="B197" s="533"/>
      <c r="C197" s="533"/>
      <c r="D197" s="594"/>
      <c r="E197" s="629"/>
      <c r="F197" s="630"/>
      <c r="G197" s="630"/>
      <c r="H197" s="629"/>
      <c r="I197" s="533"/>
      <c r="J197" s="533"/>
      <c r="K197" s="533"/>
      <c r="L197" s="532"/>
      <c r="M197" s="631"/>
      <c r="N197" s="533"/>
      <c r="O197" s="533"/>
      <c r="P197" s="533"/>
      <c r="Q197" s="533"/>
      <c r="R197" s="533"/>
      <c r="S197" s="533"/>
      <c r="T197" s="533"/>
      <c r="U197" s="533"/>
      <c r="V197" s="533"/>
      <c r="W197" s="533"/>
      <c r="X197" s="533"/>
      <c r="Y197" s="533"/>
      <c r="Z197" s="533"/>
      <c r="AA197" s="533"/>
      <c r="AB197" s="533"/>
      <c r="AC197" s="533"/>
      <c r="AD197" s="533"/>
      <c r="AE197" s="533"/>
      <c r="AF197" s="533"/>
      <c r="AG197" s="533"/>
      <c r="AH197" s="533"/>
      <c r="AI197" s="533"/>
      <c r="AJ197" s="533"/>
      <c r="AK197" s="533"/>
      <c r="AL197" s="533"/>
      <c r="AM197" s="533"/>
      <c r="AN197" s="533"/>
      <c r="AO197" s="533"/>
    </row>
    <row r="198" spans="1:41" ht="12.95" customHeight="1" x14ac:dyDescent="0.2">
      <c r="A198" s="533"/>
      <c r="B198" s="533"/>
      <c r="C198" s="533"/>
      <c r="D198" s="594"/>
      <c r="E198" s="629"/>
      <c r="F198" s="630"/>
      <c r="G198" s="630"/>
      <c r="H198" s="629"/>
      <c r="I198" s="533"/>
      <c r="J198" s="533"/>
      <c r="K198" s="533"/>
      <c r="L198" s="532"/>
      <c r="M198" s="631"/>
      <c r="N198" s="533"/>
      <c r="O198" s="533"/>
      <c r="P198" s="533"/>
      <c r="Q198" s="533"/>
      <c r="R198" s="533"/>
      <c r="S198" s="533"/>
      <c r="T198" s="533"/>
      <c r="U198" s="533"/>
      <c r="V198" s="533"/>
      <c r="W198" s="533"/>
      <c r="X198" s="533"/>
      <c r="Y198" s="533"/>
      <c r="Z198" s="533"/>
      <c r="AA198" s="533"/>
      <c r="AB198" s="533"/>
      <c r="AC198" s="533"/>
      <c r="AD198" s="533"/>
      <c r="AE198" s="533"/>
      <c r="AF198" s="533"/>
      <c r="AG198" s="533"/>
      <c r="AH198" s="533"/>
      <c r="AI198" s="533"/>
      <c r="AJ198" s="533"/>
      <c r="AK198" s="533"/>
      <c r="AL198" s="533"/>
      <c r="AM198" s="533"/>
      <c r="AN198" s="533"/>
      <c r="AO198" s="533"/>
    </row>
    <row r="199" spans="1:41" ht="12.95" customHeight="1" x14ac:dyDescent="0.2">
      <c r="A199" s="533"/>
      <c r="B199" s="533"/>
      <c r="C199" s="533"/>
      <c r="D199" s="594"/>
      <c r="E199" s="629"/>
      <c r="F199" s="630"/>
      <c r="G199" s="630"/>
      <c r="H199" s="629"/>
      <c r="I199" s="533"/>
      <c r="J199" s="533"/>
      <c r="K199" s="533"/>
      <c r="L199" s="532"/>
      <c r="M199" s="631"/>
      <c r="N199" s="533"/>
      <c r="O199" s="533"/>
      <c r="P199" s="533"/>
      <c r="Q199" s="533"/>
      <c r="R199" s="533"/>
      <c r="S199" s="533"/>
      <c r="T199" s="533"/>
      <c r="U199" s="533"/>
      <c r="V199" s="533"/>
      <c r="W199" s="533"/>
      <c r="X199" s="533"/>
      <c r="Y199" s="533"/>
      <c r="Z199" s="533"/>
      <c r="AA199" s="533"/>
      <c r="AB199" s="533"/>
      <c r="AC199" s="533"/>
      <c r="AD199" s="533"/>
      <c r="AE199" s="533"/>
      <c r="AF199" s="533"/>
      <c r="AG199" s="533"/>
      <c r="AH199" s="533"/>
      <c r="AI199" s="533"/>
      <c r="AJ199" s="533"/>
      <c r="AK199" s="533"/>
      <c r="AL199" s="533"/>
      <c r="AM199" s="533"/>
      <c r="AN199" s="533"/>
      <c r="AO199" s="533"/>
    </row>
    <row r="200" spans="1:41" ht="12.95" customHeight="1" x14ac:dyDescent="0.2">
      <c r="A200" s="533"/>
      <c r="B200" s="533"/>
      <c r="C200" s="533"/>
      <c r="D200" s="594"/>
      <c r="E200" s="629"/>
      <c r="F200" s="630"/>
      <c r="G200" s="630"/>
      <c r="H200" s="629"/>
      <c r="I200" s="533"/>
      <c r="J200" s="533"/>
      <c r="K200" s="533"/>
      <c r="L200" s="532"/>
      <c r="M200" s="631"/>
      <c r="N200" s="533"/>
      <c r="O200" s="533"/>
      <c r="P200" s="533"/>
      <c r="Q200" s="533"/>
      <c r="R200" s="533"/>
      <c r="S200" s="533"/>
      <c r="T200" s="533"/>
      <c r="U200" s="533"/>
      <c r="V200" s="533"/>
      <c r="W200" s="533"/>
      <c r="X200" s="533"/>
      <c r="Y200" s="533"/>
      <c r="Z200" s="533"/>
      <c r="AA200" s="533"/>
      <c r="AB200" s="533"/>
      <c r="AC200" s="533"/>
      <c r="AD200" s="533"/>
      <c r="AE200" s="533"/>
      <c r="AF200" s="533"/>
      <c r="AG200" s="533"/>
      <c r="AH200" s="533"/>
      <c r="AI200" s="533"/>
      <c r="AJ200" s="533"/>
      <c r="AK200" s="533"/>
      <c r="AL200" s="533"/>
      <c r="AM200" s="533"/>
      <c r="AN200" s="533"/>
      <c r="AO200" s="533"/>
    </row>
    <row r="201" spans="1:41" ht="12.95" customHeight="1" x14ac:dyDescent="0.2">
      <c r="A201" s="533"/>
      <c r="B201" s="533"/>
      <c r="C201" s="533"/>
      <c r="D201" s="594"/>
      <c r="E201" s="629"/>
      <c r="F201" s="630"/>
      <c r="G201" s="630"/>
      <c r="H201" s="629"/>
      <c r="I201" s="533"/>
      <c r="J201" s="533"/>
      <c r="K201" s="533"/>
      <c r="L201" s="532"/>
      <c r="M201" s="631"/>
      <c r="N201" s="533"/>
      <c r="O201" s="533"/>
      <c r="P201" s="533"/>
      <c r="Q201" s="533"/>
      <c r="R201" s="533"/>
      <c r="S201" s="533"/>
      <c r="T201" s="533"/>
      <c r="U201" s="533"/>
      <c r="V201" s="533"/>
      <c r="W201" s="533"/>
      <c r="X201" s="533"/>
      <c r="Y201" s="533"/>
      <c r="Z201" s="533"/>
      <c r="AA201" s="533"/>
      <c r="AB201" s="533"/>
      <c r="AC201" s="533"/>
      <c r="AD201" s="533"/>
      <c r="AE201" s="533"/>
      <c r="AF201" s="533"/>
      <c r="AG201" s="533"/>
      <c r="AH201" s="533"/>
      <c r="AI201" s="533"/>
      <c r="AJ201" s="533"/>
      <c r="AK201" s="533"/>
      <c r="AL201" s="533"/>
      <c r="AM201" s="533"/>
      <c r="AN201" s="533"/>
      <c r="AO201" s="533"/>
    </row>
    <row r="202" spans="1:41" ht="12.95" customHeight="1" x14ac:dyDescent="0.2">
      <c r="A202" s="533"/>
      <c r="B202" s="533"/>
      <c r="C202" s="533"/>
      <c r="D202" s="594"/>
      <c r="E202" s="629"/>
      <c r="F202" s="630"/>
      <c r="G202" s="630"/>
      <c r="H202" s="629"/>
      <c r="I202" s="533"/>
      <c r="J202" s="533"/>
      <c r="K202" s="533"/>
      <c r="L202" s="532"/>
      <c r="M202" s="631"/>
      <c r="N202" s="533"/>
      <c r="O202" s="533"/>
      <c r="P202" s="533"/>
      <c r="Q202" s="533"/>
      <c r="R202" s="533"/>
      <c r="S202" s="533"/>
      <c r="T202" s="533"/>
      <c r="U202" s="533"/>
      <c r="V202" s="533"/>
      <c r="W202" s="533"/>
      <c r="X202" s="533"/>
      <c r="Y202" s="533"/>
      <c r="Z202" s="533"/>
      <c r="AA202" s="533"/>
      <c r="AB202" s="533"/>
      <c r="AC202" s="533"/>
      <c r="AD202" s="533"/>
      <c r="AE202" s="533"/>
      <c r="AF202" s="533"/>
      <c r="AG202" s="533"/>
      <c r="AH202" s="533"/>
      <c r="AI202" s="533"/>
      <c r="AJ202" s="533"/>
      <c r="AK202" s="533"/>
      <c r="AL202" s="533"/>
      <c r="AM202" s="533"/>
      <c r="AN202" s="533"/>
      <c r="AO202" s="533"/>
    </row>
    <row r="203" spans="1:41" ht="12.95" customHeight="1" x14ac:dyDescent="0.2">
      <c r="A203" s="533"/>
      <c r="B203" s="533"/>
      <c r="C203" s="533"/>
      <c r="D203" s="594"/>
      <c r="E203" s="629"/>
      <c r="F203" s="630"/>
      <c r="G203" s="630"/>
      <c r="H203" s="629"/>
      <c r="I203" s="533"/>
      <c r="J203" s="533"/>
      <c r="K203" s="533"/>
      <c r="L203" s="532"/>
      <c r="M203" s="631"/>
      <c r="N203" s="533"/>
      <c r="O203" s="533"/>
      <c r="P203" s="533"/>
      <c r="Q203" s="533"/>
      <c r="R203" s="533"/>
      <c r="S203" s="533"/>
      <c r="T203" s="533"/>
      <c r="U203" s="533"/>
      <c r="V203" s="533"/>
      <c r="W203" s="533"/>
      <c r="X203" s="533"/>
      <c r="Y203" s="533"/>
      <c r="Z203" s="533"/>
      <c r="AA203" s="533"/>
      <c r="AB203" s="533"/>
      <c r="AC203" s="533"/>
      <c r="AD203" s="533"/>
      <c r="AE203" s="533"/>
      <c r="AF203" s="533"/>
      <c r="AG203" s="533"/>
      <c r="AH203" s="533"/>
      <c r="AI203" s="533"/>
      <c r="AJ203" s="533"/>
      <c r="AK203" s="533"/>
      <c r="AL203" s="533"/>
      <c r="AM203" s="533"/>
      <c r="AN203" s="533"/>
      <c r="AO203" s="533"/>
    </row>
    <row r="204" spans="1:41" ht="12.95" customHeight="1" x14ac:dyDescent="0.2">
      <c r="A204" s="533"/>
      <c r="B204" s="533"/>
      <c r="C204" s="533"/>
      <c r="D204" s="594"/>
      <c r="E204" s="629"/>
      <c r="F204" s="630"/>
      <c r="G204" s="630"/>
      <c r="H204" s="629"/>
      <c r="I204" s="533"/>
      <c r="J204" s="533"/>
      <c r="K204" s="533"/>
      <c r="L204" s="532"/>
      <c r="M204" s="631"/>
      <c r="N204" s="533"/>
      <c r="O204" s="533"/>
      <c r="P204" s="533"/>
      <c r="Q204" s="533"/>
      <c r="R204" s="533"/>
      <c r="S204" s="533"/>
      <c r="T204" s="533"/>
      <c r="U204" s="533"/>
      <c r="V204" s="533"/>
      <c r="W204" s="533"/>
      <c r="X204" s="533"/>
      <c r="Y204" s="533"/>
      <c r="Z204" s="533"/>
      <c r="AA204" s="533"/>
      <c r="AB204" s="533"/>
      <c r="AC204" s="533"/>
      <c r="AD204" s="533"/>
      <c r="AE204" s="533"/>
      <c r="AF204" s="533"/>
      <c r="AG204" s="533"/>
      <c r="AH204" s="533"/>
      <c r="AI204" s="533"/>
      <c r="AJ204" s="533"/>
      <c r="AK204" s="533"/>
      <c r="AL204" s="533"/>
      <c r="AM204" s="533"/>
      <c r="AN204" s="533"/>
      <c r="AO204" s="533"/>
    </row>
    <row r="205" spans="1:41" ht="12.95" customHeight="1" x14ac:dyDescent="0.2">
      <c r="A205" s="533"/>
      <c r="B205" s="533"/>
      <c r="C205" s="533"/>
      <c r="D205" s="594"/>
      <c r="E205" s="629"/>
      <c r="F205" s="630"/>
      <c r="G205" s="630"/>
      <c r="H205" s="629"/>
      <c r="I205" s="533"/>
      <c r="J205" s="533"/>
      <c r="K205" s="533"/>
      <c r="L205" s="532"/>
      <c r="M205" s="631"/>
      <c r="N205" s="533"/>
      <c r="O205" s="533"/>
      <c r="P205" s="533"/>
      <c r="Q205" s="533"/>
      <c r="R205" s="533"/>
      <c r="S205" s="533"/>
      <c r="T205" s="533"/>
      <c r="U205" s="533"/>
      <c r="V205" s="533"/>
      <c r="W205" s="533"/>
      <c r="X205" s="533"/>
      <c r="Y205" s="533"/>
      <c r="Z205" s="533"/>
      <c r="AA205" s="533"/>
      <c r="AB205" s="533"/>
      <c r="AC205" s="533"/>
      <c r="AD205" s="533"/>
      <c r="AE205" s="533"/>
      <c r="AF205" s="533"/>
      <c r="AG205" s="533"/>
      <c r="AH205" s="533"/>
      <c r="AI205" s="533"/>
      <c r="AJ205" s="533"/>
      <c r="AK205" s="533"/>
      <c r="AL205" s="533"/>
      <c r="AM205" s="533"/>
      <c r="AN205" s="533"/>
      <c r="AO205" s="533"/>
    </row>
    <row r="206" spans="1:41" ht="12.95" customHeight="1" x14ac:dyDescent="0.2">
      <c r="A206" s="533"/>
      <c r="B206" s="533"/>
      <c r="C206" s="533"/>
      <c r="D206" s="594"/>
      <c r="E206" s="629"/>
      <c r="F206" s="630"/>
      <c r="G206" s="630"/>
      <c r="H206" s="629"/>
      <c r="I206" s="533"/>
      <c r="J206" s="533"/>
      <c r="K206" s="533"/>
      <c r="L206" s="532"/>
      <c r="M206" s="631"/>
      <c r="N206" s="533"/>
      <c r="O206" s="533"/>
      <c r="P206" s="533"/>
      <c r="Q206" s="533"/>
      <c r="R206" s="533"/>
      <c r="S206" s="533"/>
      <c r="T206" s="533"/>
      <c r="U206" s="533"/>
      <c r="V206" s="533"/>
      <c r="W206" s="533"/>
      <c r="X206" s="533"/>
      <c r="Y206" s="533"/>
      <c r="Z206" s="533"/>
      <c r="AA206" s="533"/>
      <c r="AB206" s="533"/>
      <c r="AC206" s="533"/>
      <c r="AD206" s="533"/>
      <c r="AE206" s="533"/>
      <c r="AF206" s="533"/>
      <c r="AG206" s="533"/>
      <c r="AH206" s="533"/>
      <c r="AI206" s="533"/>
      <c r="AJ206" s="533"/>
      <c r="AK206" s="533"/>
      <c r="AL206" s="533"/>
      <c r="AM206" s="533"/>
      <c r="AN206" s="533"/>
      <c r="AO206" s="533"/>
    </row>
    <row r="207" spans="1:41" ht="12.95" customHeight="1" x14ac:dyDescent="0.2">
      <c r="A207" s="533"/>
      <c r="B207" s="533"/>
      <c r="C207" s="533"/>
      <c r="D207" s="594"/>
      <c r="E207" s="629"/>
      <c r="F207" s="630"/>
      <c r="G207" s="630"/>
      <c r="H207" s="629"/>
      <c r="I207" s="533"/>
      <c r="J207" s="533"/>
      <c r="K207" s="533"/>
      <c r="L207" s="532"/>
      <c r="M207" s="631"/>
      <c r="N207" s="533"/>
      <c r="O207" s="533"/>
      <c r="P207" s="533"/>
      <c r="Q207" s="533"/>
      <c r="R207" s="533"/>
      <c r="S207" s="533"/>
      <c r="T207" s="533"/>
      <c r="U207" s="533"/>
      <c r="V207" s="533"/>
      <c r="W207" s="533"/>
      <c r="X207" s="533"/>
      <c r="Y207" s="533"/>
      <c r="Z207" s="533"/>
      <c r="AA207" s="533"/>
      <c r="AB207" s="533"/>
      <c r="AC207" s="533"/>
      <c r="AD207" s="533"/>
      <c r="AE207" s="533"/>
      <c r="AF207" s="533"/>
      <c r="AG207" s="533"/>
      <c r="AH207" s="533"/>
      <c r="AI207" s="533"/>
      <c r="AJ207" s="533"/>
      <c r="AK207" s="533"/>
      <c r="AL207" s="533"/>
      <c r="AM207" s="533"/>
      <c r="AN207" s="533"/>
      <c r="AO207" s="533"/>
    </row>
    <row r="208" spans="1:41" ht="12.95" customHeight="1" x14ac:dyDescent="0.2">
      <c r="A208" s="533"/>
      <c r="B208" s="533"/>
      <c r="C208" s="533"/>
      <c r="D208" s="594"/>
      <c r="E208" s="629"/>
      <c r="F208" s="630"/>
      <c r="G208" s="630"/>
      <c r="H208" s="629"/>
      <c r="I208" s="533"/>
      <c r="J208" s="533"/>
      <c r="K208" s="533"/>
      <c r="L208" s="532"/>
      <c r="M208" s="631"/>
      <c r="N208" s="533"/>
      <c r="O208" s="533"/>
      <c r="P208" s="533"/>
      <c r="Q208" s="533"/>
      <c r="R208" s="533"/>
      <c r="S208" s="533"/>
      <c r="T208" s="533"/>
      <c r="U208" s="533"/>
      <c r="V208" s="533"/>
      <c r="W208" s="533"/>
      <c r="X208" s="533"/>
      <c r="Y208" s="533"/>
      <c r="Z208" s="533"/>
      <c r="AA208" s="533"/>
      <c r="AB208" s="533"/>
      <c r="AC208" s="533"/>
      <c r="AD208" s="533"/>
      <c r="AE208" s="533"/>
      <c r="AF208" s="533"/>
      <c r="AG208" s="533"/>
      <c r="AH208" s="533"/>
      <c r="AI208" s="533"/>
      <c r="AJ208" s="533"/>
      <c r="AK208" s="533"/>
      <c r="AL208" s="533"/>
      <c r="AM208" s="533"/>
      <c r="AN208" s="533"/>
      <c r="AO208" s="533"/>
    </row>
    <row r="209" spans="1:41" ht="12.95" customHeight="1" x14ac:dyDescent="0.2">
      <c r="A209" s="533"/>
      <c r="B209" s="533"/>
      <c r="C209" s="533"/>
      <c r="D209" s="594"/>
      <c r="E209" s="629"/>
      <c r="F209" s="630"/>
      <c r="G209" s="630"/>
      <c r="H209" s="629"/>
      <c r="I209" s="533"/>
      <c r="J209" s="533"/>
      <c r="K209" s="533"/>
      <c r="L209" s="532"/>
      <c r="M209" s="631"/>
      <c r="N209" s="533"/>
      <c r="O209" s="533"/>
      <c r="P209" s="533"/>
      <c r="Q209" s="533"/>
      <c r="R209" s="533"/>
      <c r="S209" s="533"/>
      <c r="T209" s="533"/>
      <c r="U209" s="533"/>
      <c r="V209" s="533"/>
      <c r="W209" s="533"/>
      <c r="X209" s="533"/>
      <c r="Y209" s="533"/>
      <c r="Z209" s="533"/>
      <c r="AA209" s="533"/>
      <c r="AB209" s="533"/>
      <c r="AC209" s="533"/>
      <c r="AD209" s="533"/>
      <c r="AE209" s="533"/>
      <c r="AF209" s="533"/>
      <c r="AG209" s="533"/>
      <c r="AH209" s="533"/>
      <c r="AI209" s="533"/>
      <c r="AJ209" s="533"/>
      <c r="AK209" s="533"/>
      <c r="AL209" s="533"/>
      <c r="AM209" s="533"/>
      <c r="AN209" s="533"/>
      <c r="AO209" s="533"/>
    </row>
    <row r="210" spans="1:41" ht="12.95" customHeight="1" x14ac:dyDescent="0.2">
      <c r="A210" s="533"/>
      <c r="B210" s="533"/>
      <c r="C210" s="533"/>
      <c r="D210" s="594"/>
      <c r="E210" s="629"/>
      <c r="F210" s="630"/>
      <c r="G210" s="630"/>
      <c r="H210" s="629"/>
      <c r="I210" s="533"/>
      <c r="J210" s="533"/>
      <c r="K210" s="533"/>
      <c r="L210" s="532"/>
      <c r="M210" s="631"/>
      <c r="N210" s="533"/>
      <c r="O210" s="533"/>
      <c r="P210" s="533"/>
      <c r="Q210" s="533"/>
      <c r="R210" s="533"/>
      <c r="S210" s="533"/>
      <c r="T210" s="533"/>
      <c r="U210" s="533"/>
      <c r="V210" s="533"/>
      <c r="W210" s="533"/>
      <c r="X210" s="533"/>
      <c r="Y210" s="533"/>
      <c r="Z210" s="533"/>
      <c r="AA210" s="533"/>
      <c r="AB210" s="533"/>
      <c r="AC210" s="533"/>
      <c r="AD210" s="533"/>
      <c r="AE210" s="533"/>
      <c r="AF210" s="533"/>
      <c r="AG210" s="533"/>
      <c r="AH210" s="533"/>
      <c r="AI210" s="533"/>
      <c r="AJ210" s="533"/>
      <c r="AK210" s="533"/>
      <c r="AL210" s="533"/>
      <c r="AM210" s="533"/>
      <c r="AN210" s="533"/>
      <c r="AO210" s="533"/>
    </row>
    <row r="211" spans="1:41" ht="12.95" customHeight="1" x14ac:dyDescent="0.2">
      <c r="A211" s="533"/>
      <c r="B211" s="533"/>
      <c r="C211" s="533"/>
      <c r="D211" s="594"/>
      <c r="E211" s="629"/>
      <c r="F211" s="630"/>
      <c r="G211" s="630"/>
      <c r="H211" s="629"/>
      <c r="I211" s="533"/>
      <c r="J211" s="533"/>
      <c r="K211" s="533"/>
      <c r="L211" s="532"/>
      <c r="M211" s="631"/>
      <c r="N211" s="533"/>
      <c r="O211" s="533"/>
      <c r="P211" s="533"/>
      <c r="Q211" s="533"/>
      <c r="R211" s="533"/>
      <c r="S211" s="533"/>
      <c r="T211" s="533"/>
      <c r="U211" s="533"/>
      <c r="V211" s="533"/>
      <c r="W211" s="533"/>
      <c r="X211" s="533"/>
      <c r="Y211" s="533"/>
      <c r="Z211" s="533"/>
      <c r="AA211" s="533"/>
      <c r="AB211" s="533"/>
      <c r="AC211" s="533"/>
      <c r="AD211" s="533"/>
      <c r="AE211" s="533"/>
      <c r="AF211" s="533"/>
      <c r="AG211" s="533"/>
      <c r="AH211" s="533"/>
      <c r="AI211" s="533"/>
      <c r="AJ211" s="533"/>
      <c r="AK211" s="533"/>
      <c r="AL211" s="533"/>
      <c r="AM211" s="533"/>
      <c r="AN211" s="533"/>
      <c r="AO211" s="533"/>
    </row>
    <row r="212" spans="1:41" ht="12.95" customHeight="1" x14ac:dyDescent="0.2">
      <c r="A212" s="533"/>
      <c r="B212" s="533"/>
      <c r="C212" s="533"/>
      <c r="D212" s="594"/>
      <c r="E212" s="629"/>
      <c r="F212" s="630"/>
      <c r="G212" s="630"/>
      <c r="H212" s="629"/>
      <c r="I212" s="533"/>
      <c r="J212" s="533"/>
      <c r="K212" s="533"/>
      <c r="L212" s="532"/>
      <c r="M212" s="631"/>
      <c r="N212" s="533"/>
      <c r="O212" s="533"/>
      <c r="P212" s="533"/>
      <c r="Q212" s="533"/>
      <c r="R212" s="533"/>
      <c r="S212" s="533"/>
      <c r="T212" s="533"/>
      <c r="U212" s="533"/>
      <c r="V212" s="533"/>
      <c r="W212" s="533"/>
      <c r="X212" s="533"/>
      <c r="Y212" s="533"/>
      <c r="Z212" s="533"/>
      <c r="AA212" s="533"/>
      <c r="AB212" s="533"/>
      <c r="AC212" s="533"/>
      <c r="AD212" s="533"/>
      <c r="AE212" s="533"/>
      <c r="AF212" s="533"/>
      <c r="AG212" s="533"/>
      <c r="AH212" s="533"/>
      <c r="AI212" s="533"/>
      <c r="AJ212" s="533"/>
      <c r="AK212" s="533"/>
      <c r="AL212" s="533"/>
      <c r="AM212" s="533"/>
      <c r="AN212" s="533"/>
      <c r="AO212" s="533"/>
    </row>
    <row r="213" spans="1:41" ht="12.95" customHeight="1" x14ac:dyDescent="0.2">
      <c r="A213" s="533"/>
      <c r="B213" s="533"/>
      <c r="C213" s="533"/>
      <c r="D213" s="594"/>
      <c r="E213" s="629"/>
      <c r="F213" s="630"/>
      <c r="G213" s="630"/>
      <c r="H213" s="629"/>
      <c r="I213" s="533"/>
      <c r="J213" s="533"/>
      <c r="K213" s="533"/>
      <c r="L213" s="532"/>
      <c r="M213" s="631"/>
      <c r="N213" s="533"/>
      <c r="O213" s="533"/>
      <c r="P213" s="533"/>
      <c r="Q213" s="533"/>
      <c r="R213" s="533"/>
      <c r="S213" s="533"/>
      <c r="T213" s="533"/>
      <c r="U213" s="533"/>
      <c r="V213" s="533"/>
      <c r="W213" s="533"/>
      <c r="X213" s="533"/>
      <c r="Y213" s="533"/>
      <c r="Z213" s="533"/>
      <c r="AA213" s="533"/>
      <c r="AB213" s="533"/>
      <c r="AC213" s="533"/>
      <c r="AD213" s="533"/>
      <c r="AE213" s="533"/>
      <c r="AF213" s="533"/>
      <c r="AG213" s="533"/>
      <c r="AH213" s="533"/>
      <c r="AI213" s="533"/>
      <c r="AJ213" s="533"/>
      <c r="AK213" s="533"/>
      <c r="AL213" s="533"/>
      <c r="AM213" s="533"/>
      <c r="AN213" s="533"/>
      <c r="AO213" s="533"/>
    </row>
    <row r="214" spans="1:41" ht="12.95" customHeight="1" x14ac:dyDescent="0.2">
      <c r="A214" s="533"/>
      <c r="B214" s="533"/>
      <c r="C214" s="533"/>
      <c r="D214" s="594"/>
      <c r="E214" s="629"/>
      <c r="F214" s="630"/>
      <c r="G214" s="630"/>
      <c r="H214" s="629"/>
      <c r="I214" s="533"/>
      <c r="J214" s="533"/>
      <c r="K214" s="533"/>
      <c r="L214" s="532"/>
      <c r="M214" s="631"/>
      <c r="N214" s="533"/>
      <c r="O214" s="533"/>
      <c r="P214" s="533"/>
      <c r="Q214" s="533"/>
      <c r="R214" s="533"/>
      <c r="S214" s="533"/>
      <c r="T214" s="533"/>
      <c r="U214" s="533"/>
      <c r="V214" s="533"/>
      <c r="W214" s="533"/>
      <c r="X214" s="533"/>
      <c r="Y214" s="533"/>
      <c r="Z214" s="533"/>
      <c r="AA214" s="533"/>
      <c r="AB214" s="533"/>
      <c r="AC214" s="533"/>
      <c r="AD214" s="533"/>
      <c r="AE214" s="533"/>
      <c r="AF214" s="533"/>
      <c r="AG214" s="533"/>
      <c r="AH214" s="533"/>
      <c r="AI214" s="533"/>
      <c r="AJ214" s="533"/>
      <c r="AK214" s="533"/>
      <c r="AL214" s="533"/>
      <c r="AM214" s="533"/>
      <c r="AN214" s="533"/>
      <c r="AO214" s="533"/>
    </row>
    <row r="215" spans="1:41" ht="12.95" customHeight="1" x14ac:dyDescent="0.2">
      <c r="A215" s="533"/>
      <c r="B215" s="533"/>
      <c r="C215" s="533"/>
      <c r="D215" s="594"/>
      <c r="E215" s="629"/>
      <c r="F215" s="630"/>
      <c r="G215" s="630"/>
      <c r="H215" s="629"/>
      <c r="I215" s="533"/>
      <c r="J215" s="533"/>
      <c r="K215" s="533"/>
      <c r="L215" s="532"/>
      <c r="M215" s="631"/>
      <c r="N215" s="533"/>
      <c r="O215" s="533"/>
      <c r="P215" s="533"/>
      <c r="Q215" s="533"/>
      <c r="R215" s="533"/>
      <c r="S215" s="533"/>
      <c r="T215" s="533"/>
      <c r="U215" s="533"/>
      <c r="V215" s="533"/>
      <c r="W215" s="533"/>
      <c r="X215" s="533"/>
      <c r="Y215" s="533"/>
      <c r="Z215" s="533"/>
      <c r="AA215" s="533"/>
      <c r="AB215" s="533"/>
      <c r="AC215" s="533"/>
      <c r="AD215" s="533"/>
      <c r="AE215" s="533"/>
      <c r="AF215" s="533"/>
      <c r="AG215" s="533"/>
      <c r="AH215" s="533"/>
      <c r="AI215" s="533"/>
      <c r="AJ215" s="533"/>
      <c r="AK215" s="533"/>
      <c r="AL215" s="533"/>
      <c r="AM215" s="533"/>
      <c r="AN215" s="533"/>
      <c r="AO215" s="533"/>
    </row>
    <row r="216" spans="1:41" ht="12.95" customHeight="1" x14ac:dyDescent="0.2">
      <c r="A216" s="533"/>
      <c r="B216" s="533"/>
      <c r="C216" s="533"/>
      <c r="D216" s="594"/>
      <c r="E216" s="629"/>
      <c r="F216" s="630"/>
      <c r="G216" s="630"/>
      <c r="H216" s="629"/>
      <c r="I216" s="533"/>
      <c r="J216" s="533"/>
      <c r="K216" s="533"/>
      <c r="L216" s="532"/>
      <c r="M216" s="631"/>
      <c r="N216" s="533"/>
      <c r="O216" s="533"/>
      <c r="P216" s="533"/>
      <c r="Q216" s="533"/>
      <c r="R216" s="533"/>
      <c r="S216" s="533"/>
      <c r="T216" s="533"/>
      <c r="U216" s="533"/>
      <c r="V216" s="533"/>
      <c r="W216" s="533"/>
      <c r="X216" s="533"/>
      <c r="Y216" s="533"/>
      <c r="Z216" s="533"/>
      <c r="AA216" s="533"/>
      <c r="AB216" s="533"/>
      <c r="AC216" s="533"/>
      <c r="AD216" s="533"/>
      <c r="AE216" s="533"/>
      <c r="AF216" s="533"/>
      <c r="AG216" s="533"/>
      <c r="AH216" s="533"/>
      <c r="AI216" s="533"/>
      <c r="AJ216" s="533"/>
      <c r="AK216" s="533"/>
      <c r="AL216" s="533"/>
      <c r="AM216" s="533"/>
      <c r="AN216" s="533"/>
      <c r="AO216" s="533"/>
    </row>
    <row r="217" spans="1:41" ht="12.95" customHeight="1" x14ac:dyDescent="0.2">
      <c r="A217" s="533"/>
      <c r="B217" s="533"/>
      <c r="C217" s="533"/>
      <c r="D217" s="594"/>
      <c r="E217" s="629"/>
      <c r="F217" s="630"/>
      <c r="G217" s="630"/>
      <c r="H217" s="629"/>
      <c r="I217" s="533"/>
      <c r="J217" s="533"/>
      <c r="K217" s="533"/>
      <c r="L217" s="532"/>
      <c r="M217" s="631"/>
      <c r="N217" s="533"/>
      <c r="O217" s="533"/>
      <c r="P217" s="533"/>
      <c r="Q217" s="533"/>
      <c r="R217" s="533"/>
      <c r="S217" s="533"/>
      <c r="T217" s="533"/>
      <c r="U217" s="533"/>
      <c r="V217" s="533"/>
      <c r="W217" s="533"/>
      <c r="X217" s="533"/>
      <c r="Y217" s="533"/>
      <c r="Z217" s="533"/>
      <c r="AA217" s="533"/>
      <c r="AB217" s="533"/>
      <c r="AC217" s="533"/>
      <c r="AD217" s="533"/>
      <c r="AE217" s="533"/>
      <c r="AF217" s="533"/>
      <c r="AG217" s="533"/>
      <c r="AH217" s="533"/>
      <c r="AI217" s="533"/>
      <c r="AJ217" s="533"/>
      <c r="AK217" s="533"/>
      <c r="AL217" s="533"/>
      <c r="AM217" s="533"/>
      <c r="AN217" s="533"/>
      <c r="AO217" s="533"/>
    </row>
    <row r="218" spans="1:41" ht="12.95" customHeight="1" x14ac:dyDescent="0.2">
      <c r="A218" s="533"/>
      <c r="B218" s="533"/>
      <c r="C218" s="533"/>
      <c r="D218" s="594"/>
      <c r="E218" s="629"/>
      <c r="F218" s="630"/>
      <c r="G218" s="630"/>
      <c r="H218" s="629"/>
      <c r="I218" s="533"/>
      <c r="J218" s="533"/>
      <c r="K218" s="533"/>
      <c r="L218" s="532"/>
      <c r="M218" s="631"/>
      <c r="N218" s="533"/>
      <c r="O218" s="533"/>
      <c r="P218" s="533"/>
      <c r="Q218" s="533"/>
      <c r="R218" s="533"/>
      <c r="S218" s="533"/>
      <c r="T218" s="533"/>
      <c r="U218" s="533"/>
      <c r="V218" s="533"/>
      <c r="W218" s="533"/>
      <c r="X218" s="533"/>
      <c r="Y218" s="533"/>
      <c r="Z218" s="533"/>
      <c r="AA218" s="533"/>
      <c r="AB218" s="533"/>
      <c r="AC218" s="533"/>
      <c r="AD218" s="533"/>
      <c r="AE218" s="533"/>
      <c r="AF218" s="533"/>
      <c r="AG218" s="533"/>
      <c r="AH218" s="533"/>
      <c r="AI218" s="533"/>
      <c r="AJ218" s="533"/>
      <c r="AK218" s="533"/>
      <c r="AL218" s="533"/>
      <c r="AM218" s="533"/>
      <c r="AN218" s="533"/>
      <c r="AO218" s="533"/>
    </row>
    <row r="219" spans="1:41" ht="12.95" customHeight="1" x14ac:dyDescent="0.2">
      <c r="A219" s="533"/>
      <c r="B219" s="533"/>
      <c r="C219" s="533"/>
      <c r="D219" s="594"/>
      <c r="E219" s="629"/>
      <c r="F219" s="630"/>
      <c r="G219" s="630"/>
      <c r="H219" s="629"/>
      <c r="I219" s="533"/>
      <c r="J219" s="533"/>
      <c r="K219" s="533"/>
      <c r="L219" s="532"/>
      <c r="M219" s="631"/>
      <c r="N219" s="533"/>
      <c r="O219" s="533"/>
      <c r="P219" s="533"/>
      <c r="Q219" s="533"/>
      <c r="R219" s="533"/>
      <c r="S219" s="533"/>
      <c r="T219" s="533"/>
      <c r="U219" s="533"/>
      <c r="V219" s="533"/>
      <c r="W219" s="533"/>
      <c r="X219" s="533"/>
      <c r="Y219" s="533"/>
      <c r="Z219" s="533"/>
      <c r="AA219" s="533"/>
      <c r="AB219" s="533"/>
      <c r="AC219" s="533"/>
      <c r="AD219" s="533"/>
      <c r="AE219" s="533"/>
      <c r="AF219" s="533"/>
      <c r="AG219" s="533"/>
      <c r="AH219" s="533"/>
      <c r="AI219" s="533"/>
      <c r="AJ219" s="533"/>
      <c r="AK219" s="533"/>
      <c r="AL219" s="533"/>
      <c r="AM219" s="533"/>
      <c r="AN219" s="533"/>
      <c r="AO219" s="533"/>
    </row>
    <row r="220" spans="1:41" ht="12.95" customHeight="1" x14ac:dyDescent="0.2">
      <c r="A220" s="533"/>
      <c r="B220" s="533"/>
      <c r="C220" s="533"/>
      <c r="D220" s="594"/>
      <c r="E220" s="629"/>
      <c r="F220" s="630"/>
      <c r="G220" s="630"/>
      <c r="H220" s="629"/>
      <c r="I220" s="533"/>
      <c r="J220" s="533"/>
      <c r="K220" s="533"/>
      <c r="L220" s="532"/>
      <c r="M220" s="631"/>
      <c r="N220" s="533"/>
      <c r="O220" s="533"/>
      <c r="P220" s="533"/>
      <c r="Q220" s="533"/>
      <c r="R220" s="533"/>
      <c r="S220" s="533"/>
      <c r="T220" s="533"/>
      <c r="U220" s="533"/>
      <c r="V220" s="533"/>
      <c r="W220" s="533"/>
      <c r="X220" s="533"/>
      <c r="Y220" s="533"/>
      <c r="Z220" s="533"/>
      <c r="AA220" s="533"/>
      <c r="AB220" s="533"/>
      <c r="AC220" s="533"/>
      <c r="AD220" s="533"/>
      <c r="AE220" s="533"/>
      <c r="AF220" s="533"/>
      <c r="AG220" s="533"/>
      <c r="AH220" s="533"/>
      <c r="AI220" s="533"/>
      <c r="AJ220" s="533"/>
      <c r="AK220" s="533"/>
      <c r="AL220" s="533"/>
      <c r="AM220" s="533"/>
      <c r="AN220" s="533"/>
      <c r="AO220" s="533"/>
    </row>
    <row r="221" spans="1:41" ht="12.95" customHeight="1" x14ac:dyDescent="0.2">
      <c r="A221" s="533"/>
      <c r="B221" s="533"/>
      <c r="C221" s="533"/>
      <c r="D221" s="594"/>
      <c r="E221" s="629"/>
      <c r="F221" s="630"/>
      <c r="G221" s="630"/>
      <c r="H221" s="629"/>
      <c r="I221" s="533"/>
      <c r="J221" s="533"/>
      <c r="K221" s="533"/>
      <c r="L221" s="532"/>
      <c r="M221" s="631"/>
      <c r="N221" s="533"/>
      <c r="O221" s="533"/>
      <c r="P221" s="533"/>
      <c r="Q221" s="533"/>
      <c r="R221" s="533"/>
      <c r="S221" s="533"/>
      <c r="T221" s="533"/>
      <c r="U221" s="533"/>
      <c r="V221" s="533"/>
      <c r="W221" s="533"/>
      <c r="X221" s="533"/>
      <c r="Y221" s="533"/>
      <c r="Z221" s="533"/>
      <c r="AA221" s="533"/>
      <c r="AB221" s="533"/>
      <c r="AC221" s="533"/>
      <c r="AD221" s="533"/>
      <c r="AE221" s="533"/>
      <c r="AF221" s="533"/>
      <c r="AG221" s="533"/>
      <c r="AH221" s="533"/>
      <c r="AI221" s="533"/>
      <c r="AJ221" s="533"/>
      <c r="AK221" s="533"/>
      <c r="AL221" s="533"/>
      <c r="AM221" s="533"/>
      <c r="AN221" s="533"/>
      <c r="AO221" s="533"/>
    </row>
    <row r="222" spans="1:41" ht="12.95" customHeight="1" x14ac:dyDescent="0.2">
      <c r="A222" s="533"/>
      <c r="B222" s="533"/>
      <c r="C222" s="533"/>
      <c r="D222" s="594"/>
      <c r="E222" s="629"/>
      <c r="F222" s="630"/>
      <c r="G222" s="630"/>
      <c r="H222" s="629"/>
      <c r="I222" s="533"/>
      <c r="J222" s="533"/>
      <c r="K222" s="533"/>
      <c r="L222" s="532"/>
      <c r="M222" s="631"/>
      <c r="N222" s="533"/>
      <c r="O222" s="533"/>
      <c r="P222" s="533"/>
      <c r="Q222" s="533"/>
      <c r="R222" s="533"/>
      <c r="S222" s="533"/>
      <c r="T222" s="533"/>
      <c r="U222" s="533"/>
      <c r="V222" s="533"/>
      <c r="W222" s="533"/>
      <c r="X222" s="533"/>
      <c r="Y222" s="533"/>
      <c r="Z222" s="533"/>
      <c r="AA222" s="533"/>
      <c r="AB222" s="533"/>
      <c r="AC222" s="533"/>
      <c r="AD222" s="533"/>
      <c r="AE222" s="533"/>
      <c r="AF222" s="533"/>
      <c r="AG222" s="533"/>
      <c r="AH222" s="533"/>
      <c r="AI222" s="533"/>
      <c r="AJ222" s="533"/>
      <c r="AK222" s="533"/>
      <c r="AL222" s="533"/>
      <c r="AM222" s="533"/>
      <c r="AN222" s="533"/>
      <c r="AO222" s="533"/>
    </row>
    <row r="223" spans="1:41" ht="12.95" customHeight="1" x14ac:dyDescent="0.2">
      <c r="A223" s="533"/>
      <c r="B223" s="533"/>
      <c r="C223" s="533"/>
      <c r="D223" s="594"/>
      <c r="E223" s="629"/>
      <c r="F223" s="630"/>
      <c r="G223" s="630"/>
      <c r="H223" s="629"/>
      <c r="I223" s="533"/>
      <c r="J223" s="533"/>
      <c r="K223" s="533"/>
      <c r="L223" s="532"/>
      <c r="M223" s="631"/>
      <c r="N223" s="533"/>
      <c r="O223" s="533"/>
      <c r="P223" s="533"/>
      <c r="Q223" s="533"/>
      <c r="R223" s="533"/>
      <c r="S223" s="533"/>
      <c r="T223" s="533"/>
      <c r="U223" s="533"/>
      <c r="V223" s="533"/>
      <c r="W223" s="533"/>
      <c r="X223" s="533"/>
      <c r="Y223" s="533"/>
      <c r="Z223" s="533"/>
      <c r="AA223" s="533"/>
      <c r="AB223" s="533"/>
      <c r="AC223" s="533"/>
      <c r="AD223" s="533"/>
      <c r="AE223" s="533"/>
      <c r="AF223" s="533"/>
      <c r="AG223" s="533"/>
      <c r="AH223" s="533"/>
      <c r="AI223" s="533"/>
      <c r="AJ223" s="533"/>
      <c r="AK223" s="533"/>
      <c r="AL223" s="533"/>
      <c r="AM223" s="533"/>
      <c r="AN223" s="533"/>
      <c r="AO223" s="533"/>
    </row>
    <row r="224" spans="1:41" ht="12.95" customHeight="1" x14ac:dyDescent="0.2">
      <c r="A224" s="533"/>
      <c r="B224" s="533"/>
      <c r="C224" s="533"/>
      <c r="D224" s="594"/>
      <c r="E224" s="629"/>
      <c r="F224" s="630"/>
      <c r="G224" s="630"/>
      <c r="H224" s="629"/>
      <c r="I224" s="533"/>
      <c r="J224" s="533"/>
      <c r="K224" s="533"/>
      <c r="L224" s="532"/>
      <c r="M224" s="631"/>
      <c r="N224" s="533"/>
      <c r="O224" s="533"/>
      <c r="P224" s="533"/>
      <c r="Q224" s="533"/>
      <c r="R224" s="533"/>
      <c r="S224" s="533"/>
      <c r="T224" s="533"/>
      <c r="U224" s="533"/>
      <c r="V224" s="533"/>
      <c r="W224" s="533"/>
      <c r="X224" s="533"/>
      <c r="Y224" s="533"/>
      <c r="Z224" s="533"/>
      <c r="AA224" s="533"/>
      <c r="AB224" s="533"/>
      <c r="AC224" s="533"/>
      <c r="AD224" s="533"/>
      <c r="AE224" s="533"/>
      <c r="AF224" s="533"/>
      <c r="AG224" s="533"/>
      <c r="AH224" s="533"/>
      <c r="AI224" s="533"/>
      <c r="AJ224" s="533"/>
      <c r="AK224" s="533"/>
      <c r="AL224" s="533"/>
      <c r="AM224" s="533"/>
      <c r="AN224" s="533"/>
      <c r="AO224" s="533"/>
    </row>
    <row r="225" spans="1:41" ht="12.95" customHeight="1" x14ac:dyDescent="0.2">
      <c r="A225" s="533"/>
      <c r="B225" s="533"/>
      <c r="C225" s="533"/>
      <c r="D225" s="594"/>
      <c r="E225" s="629"/>
      <c r="F225" s="630"/>
      <c r="G225" s="630"/>
      <c r="H225" s="629"/>
      <c r="I225" s="533"/>
      <c r="J225" s="533"/>
      <c r="K225" s="533"/>
      <c r="L225" s="532"/>
      <c r="M225" s="631"/>
      <c r="N225" s="533"/>
      <c r="O225" s="533"/>
      <c r="P225" s="533"/>
      <c r="Q225" s="533"/>
      <c r="R225" s="533"/>
      <c r="S225" s="533"/>
      <c r="T225" s="533"/>
      <c r="U225" s="533"/>
      <c r="V225" s="533"/>
      <c r="W225" s="533"/>
      <c r="X225" s="533"/>
      <c r="Y225" s="533"/>
      <c r="Z225" s="533"/>
      <c r="AA225" s="533"/>
      <c r="AB225" s="533"/>
      <c r="AC225" s="533"/>
      <c r="AD225" s="533"/>
      <c r="AE225" s="533"/>
      <c r="AF225" s="533"/>
      <c r="AG225" s="533"/>
      <c r="AH225" s="533"/>
      <c r="AI225" s="533"/>
      <c r="AJ225" s="533"/>
      <c r="AK225" s="533"/>
      <c r="AL225" s="533"/>
      <c r="AM225" s="533"/>
      <c r="AN225" s="533"/>
      <c r="AO225" s="533"/>
    </row>
    <row r="226" spans="1:41" ht="12.95" customHeight="1" x14ac:dyDescent="0.2">
      <c r="A226" s="533"/>
      <c r="B226" s="533"/>
      <c r="C226" s="533"/>
      <c r="D226" s="594"/>
      <c r="E226" s="629"/>
      <c r="F226" s="630"/>
      <c r="G226" s="630"/>
      <c r="H226" s="629"/>
      <c r="I226" s="533"/>
      <c r="J226" s="533"/>
      <c r="K226" s="533"/>
      <c r="L226" s="532"/>
      <c r="M226" s="631"/>
      <c r="N226" s="533"/>
      <c r="O226" s="533"/>
      <c r="P226" s="533"/>
      <c r="Q226" s="533"/>
      <c r="R226" s="533"/>
      <c r="S226" s="533"/>
      <c r="T226" s="533"/>
      <c r="U226" s="533"/>
      <c r="V226" s="533"/>
      <c r="W226" s="533"/>
      <c r="X226" s="533"/>
      <c r="Y226" s="533"/>
      <c r="Z226" s="533"/>
      <c r="AA226" s="533"/>
      <c r="AB226" s="533"/>
      <c r="AC226" s="533"/>
      <c r="AD226" s="533"/>
      <c r="AE226" s="533"/>
      <c r="AF226" s="533"/>
      <c r="AG226" s="533"/>
      <c r="AH226" s="533"/>
      <c r="AI226" s="533"/>
      <c r="AJ226" s="533"/>
      <c r="AK226" s="533"/>
      <c r="AL226" s="533"/>
      <c r="AM226" s="533"/>
      <c r="AN226" s="533"/>
      <c r="AO226" s="533"/>
    </row>
    <row r="227" spans="1:41" ht="12.95" customHeight="1" x14ac:dyDescent="0.2">
      <c r="A227" s="533"/>
      <c r="B227" s="533"/>
      <c r="C227" s="533"/>
      <c r="D227" s="594"/>
      <c r="E227" s="629"/>
      <c r="F227" s="630"/>
      <c r="G227" s="630"/>
      <c r="H227" s="629"/>
      <c r="I227" s="533"/>
      <c r="J227" s="533"/>
      <c r="K227" s="533"/>
      <c r="L227" s="532"/>
      <c r="M227" s="631"/>
      <c r="N227" s="533"/>
      <c r="O227" s="533"/>
      <c r="P227" s="533"/>
      <c r="Q227" s="533"/>
      <c r="R227" s="533"/>
      <c r="S227" s="533"/>
      <c r="T227" s="533"/>
      <c r="U227" s="533"/>
      <c r="V227" s="533"/>
      <c r="W227" s="533"/>
      <c r="X227" s="533"/>
      <c r="Y227" s="533"/>
      <c r="Z227" s="533"/>
      <c r="AA227" s="533"/>
      <c r="AB227" s="533"/>
      <c r="AC227" s="533"/>
      <c r="AD227" s="533"/>
      <c r="AE227" s="533"/>
      <c r="AF227" s="533"/>
      <c r="AG227" s="533"/>
      <c r="AH227" s="533"/>
      <c r="AI227" s="533"/>
      <c r="AJ227" s="533"/>
      <c r="AK227" s="533"/>
      <c r="AL227" s="533"/>
      <c r="AM227" s="533"/>
      <c r="AN227" s="533"/>
      <c r="AO227" s="533"/>
    </row>
    <row r="228" spans="1:41" ht="12.95" customHeight="1" x14ac:dyDescent="0.2">
      <c r="A228" s="533"/>
      <c r="B228" s="533"/>
      <c r="C228" s="533"/>
      <c r="D228" s="594"/>
      <c r="E228" s="629"/>
      <c r="F228" s="630"/>
      <c r="G228" s="630"/>
      <c r="H228" s="629"/>
      <c r="I228" s="533"/>
      <c r="J228" s="533"/>
      <c r="K228" s="533"/>
      <c r="L228" s="532"/>
      <c r="M228" s="631"/>
      <c r="N228" s="533"/>
      <c r="O228" s="533"/>
      <c r="P228" s="533"/>
      <c r="Q228" s="533"/>
      <c r="R228" s="533"/>
      <c r="S228" s="533"/>
      <c r="T228" s="533"/>
      <c r="U228" s="533"/>
      <c r="V228" s="533"/>
      <c r="W228" s="533"/>
      <c r="X228" s="533"/>
      <c r="Y228" s="533"/>
      <c r="Z228" s="533"/>
      <c r="AA228" s="533"/>
      <c r="AB228" s="533"/>
      <c r="AC228" s="533"/>
      <c r="AD228" s="533"/>
      <c r="AE228" s="533"/>
      <c r="AF228" s="533"/>
      <c r="AG228" s="533"/>
      <c r="AH228" s="533"/>
      <c r="AI228" s="533"/>
      <c r="AJ228" s="533"/>
      <c r="AK228" s="533"/>
      <c r="AL228" s="533"/>
      <c r="AM228" s="533"/>
      <c r="AN228" s="533"/>
      <c r="AO228" s="533"/>
    </row>
    <row r="229" spans="1:41" ht="12.95" customHeight="1" x14ac:dyDescent="0.2">
      <c r="A229" s="533"/>
      <c r="B229" s="533"/>
      <c r="C229" s="533"/>
      <c r="D229" s="594"/>
      <c r="E229" s="629"/>
      <c r="F229" s="630"/>
      <c r="G229" s="630"/>
      <c r="H229" s="629"/>
      <c r="I229" s="533"/>
      <c r="J229" s="533"/>
      <c r="K229" s="533"/>
      <c r="L229" s="532"/>
      <c r="M229" s="631"/>
      <c r="N229" s="533"/>
      <c r="O229" s="533"/>
      <c r="P229" s="533"/>
      <c r="Q229" s="533"/>
      <c r="R229" s="533"/>
      <c r="S229" s="533"/>
      <c r="T229" s="533"/>
      <c r="U229" s="533"/>
      <c r="V229" s="533"/>
      <c r="W229" s="533"/>
      <c r="X229" s="533"/>
      <c r="Y229" s="533"/>
      <c r="Z229" s="533"/>
      <c r="AA229" s="533"/>
      <c r="AB229" s="533"/>
      <c r="AC229" s="533"/>
      <c r="AD229" s="533"/>
      <c r="AE229" s="533"/>
      <c r="AF229" s="533"/>
      <c r="AG229" s="533"/>
      <c r="AH229" s="533"/>
      <c r="AI229" s="533"/>
      <c r="AJ229" s="533"/>
      <c r="AK229" s="533"/>
      <c r="AL229" s="533"/>
      <c r="AM229" s="533"/>
      <c r="AN229" s="533"/>
      <c r="AO229" s="533"/>
    </row>
    <row r="230" spans="1:41" ht="12.95" customHeight="1" x14ac:dyDescent="0.2">
      <c r="A230" s="533"/>
      <c r="B230" s="533"/>
      <c r="C230" s="533"/>
      <c r="D230" s="594"/>
      <c r="E230" s="629"/>
      <c r="F230" s="630"/>
      <c r="G230" s="630"/>
      <c r="H230" s="629"/>
      <c r="I230" s="533"/>
      <c r="J230" s="533"/>
      <c r="K230" s="533"/>
      <c r="L230" s="532"/>
      <c r="M230" s="631"/>
      <c r="N230" s="533"/>
      <c r="O230" s="533"/>
      <c r="P230" s="533"/>
      <c r="Q230" s="533"/>
      <c r="R230" s="533"/>
      <c r="S230" s="533"/>
      <c r="T230" s="533"/>
      <c r="U230" s="533"/>
      <c r="V230" s="533"/>
      <c r="W230" s="533"/>
      <c r="X230" s="533"/>
      <c r="Y230" s="533"/>
      <c r="Z230" s="533"/>
      <c r="AA230" s="533"/>
      <c r="AB230" s="533"/>
      <c r="AC230" s="533"/>
      <c r="AD230" s="533"/>
      <c r="AE230" s="533"/>
      <c r="AF230" s="533"/>
      <c r="AG230" s="533"/>
      <c r="AH230" s="533"/>
      <c r="AI230" s="533"/>
      <c r="AJ230" s="533"/>
      <c r="AK230" s="533"/>
      <c r="AL230" s="533"/>
      <c r="AM230" s="533"/>
      <c r="AN230" s="533"/>
      <c r="AO230" s="533"/>
    </row>
    <row r="231" spans="1:41" ht="12.95" customHeight="1" x14ac:dyDescent="0.2">
      <c r="A231" s="533"/>
      <c r="B231" s="533"/>
      <c r="C231" s="533"/>
      <c r="D231" s="594"/>
      <c r="E231" s="629"/>
      <c r="F231" s="630"/>
      <c r="G231" s="630"/>
      <c r="H231" s="629"/>
      <c r="I231" s="533"/>
      <c r="J231" s="533"/>
      <c r="K231" s="533"/>
      <c r="L231" s="532"/>
      <c r="M231" s="631"/>
      <c r="N231" s="533"/>
      <c r="O231" s="533"/>
      <c r="P231" s="533"/>
      <c r="Q231" s="533"/>
      <c r="R231" s="533"/>
      <c r="S231" s="533"/>
      <c r="T231" s="533"/>
      <c r="U231" s="533"/>
      <c r="V231" s="533"/>
      <c r="W231" s="533"/>
      <c r="X231" s="533"/>
      <c r="Y231" s="533"/>
      <c r="Z231" s="533"/>
      <c r="AA231" s="533"/>
      <c r="AB231" s="533"/>
      <c r="AC231" s="533"/>
      <c r="AD231" s="533"/>
      <c r="AE231" s="533"/>
      <c r="AF231" s="533"/>
      <c r="AG231" s="533"/>
      <c r="AH231" s="533"/>
      <c r="AI231" s="533"/>
      <c r="AJ231" s="533"/>
      <c r="AK231" s="533"/>
      <c r="AL231" s="533"/>
      <c r="AM231" s="533"/>
      <c r="AN231" s="533"/>
      <c r="AO231" s="533"/>
    </row>
    <row r="232" spans="1:41" ht="12.95" customHeight="1" x14ac:dyDescent="0.2">
      <c r="A232" s="533"/>
      <c r="B232" s="533"/>
      <c r="C232" s="533"/>
      <c r="D232" s="594"/>
      <c r="E232" s="629"/>
      <c r="F232" s="630"/>
      <c r="G232" s="630"/>
      <c r="H232" s="629"/>
      <c r="I232" s="533"/>
      <c r="J232" s="533"/>
      <c r="K232" s="533"/>
      <c r="L232" s="532"/>
      <c r="M232" s="631"/>
      <c r="N232" s="533"/>
      <c r="O232" s="533"/>
      <c r="P232" s="533"/>
      <c r="Q232" s="533"/>
      <c r="R232" s="533"/>
      <c r="S232" s="533"/>
      <c r="T232" s="533"/>
      <c r="U232" s="533"/>
      <c r="V232" s="533"/>
      <c r="W232" s="533"/>
      <c r="X232" s="533"/>
      <c r="Y232" s="533"/>
      <c r="Z232" s="533"/>
      <c r="AA232" s="533"/>
      <c r="AB232" s="533"/>
      <c r="AC232" s="533"/>
      <c r="AD232" s="533"/>
      <c r="AE232" s="533"/>
      <c r="AF232" s="533"/>
      <c r="AG232" s="533"/>
      <c r="AH232" s="533"/>
      <c r="AI232" s="533"/>
      <c r="AJ232" s="533"/>
      <c r="AK232" s="533"/>
      <c r="AL232" s="533"/>
      <c r="AM232" s="533"/>
      <c r="AN232" s="533"/>
      <c r="AO232" s="533"/>
    </row>
    <row r="233" spans="1:41" ht="12.95" customHeight="1" x14ac:dyDescent="0.2">
      <c r="A233" s="533"/>
      <c r="B233" s="533"/>
      <c r="C233" s="533"/>
      <c r="D233" s="594"/>
      <c r="E233" s="629"/>
      <c r="F233" s="630"/>
      <c r="G233" s="630"/>
      <c r="H233" s="629"/>
      <c r="I233" s="533"/>
      <c r="J233" s="533"/>
      <c r="K233" s="533"/>
      <c r="L233" s="532"/>
      <c r="M233" s="631"/>
      <c r="N233" s="533"/>
      <c r="O233" s="533"/>
      <c r="P233" s="533"/>
      <c r="Q233" s="533"/>
      <c r="R233" s="533"/>
      <c r="S233" s="533"/>
      <c r="T233" s="533"/>
      <c r="U233" s="533"/>
      <c r="V233" s="533"/>
      <c r="W233" s="533"/>
      <c r="X233" s="533"/>
      <c r="Y233" s="533"/>
      <c r="Z233" s="533"/>
      <c r="AA233" s="533"/>
      <c r="AB233" s="533"/>
      <c r="AC233" s="533"/>
      <c r="AD233" s="533"/>
      <c r="AE233" s="533"/>
      <c r="AF233" s="533"/>
      <c r="AG233" s="533"/>
      <c r="AH233" s="533"/>
      <c r="AI233" s="533"/>
      <c r="AJ233" s="533"/>
      <c r="AK233" s="533"/>
      <c r="AL233" s="533"/>
      <c r="AM233" s="533"/>
      <c r="AN233" s="533"/>
      <c r="AO233" s="533"/>
    </row>
    <row r="234" spans="1:41" ht="12.95" customHeight="1" x14ac:dyDescent="0.2">
      <c r="A234" s="533"/>
      <c r="B234" s="533"/>
      <c r="C234" s="533"/>
      <c r="D234" s="594"/>
      <c r="E234" s="629"/>
      <c r="F234" s="630"/>
      <c r="G234" s="630"/>
      <c r="H234" s="629"/>
      <c r="I234" s="533"/>
      <c r="J234" s="533"/>
      <c r="K234" s="533"/>
      <c r="L234" s="532"/>
      <c r="M234" s="631"/>
      <c r="N234" s="533"/>
      <c r="O234" s="533"/>
      <c r="P234" s="533"/>
      <c r="Q234" s="533"/>
      <c r="R234" s="533"/>
      <c r="S234" s="533"/>
      <c r="T234" s="533"/>
      <c r="U234" s="533"/>
      <c r="V234" s="533"/>
      <c r="W234" s="533"/>
      <c r="X234" s="533"/>
      <c r="Y234" s="533"/>
      <c r="Z234" s="533"/>
      <c r="AA234" s="533"/>
      <c r="AB234" s="533"/>
      <c r="AC234" s="533"/>
      <c r="AD234" s="533"/>
      <c r="AE234" s="533"/>
      <c r="AF234" s="533"/>
      <c r="AG234" s="533"/>
      <c r="AH234" s="533"/>
      <c r="AI234" s="533"/>
      <c r="AJ234" s="533"/>
      <c r="AK234" s="533"/>
      <c r="AL234" s="533"/>
      <c r="AM234" s="533"/>
      <c r="AN234" s="533"/>
      <c r="AO234" s="533"/>
    </row>
    <row r="235" spans="1:41" ht="12.95" customHeight="1" x14ac:dyDescent="0.2">
      <c r="A235" s="533"/>
      <c r="B235" s="533"/>
      <c r="C235" s="533"/>
      <c r="D235" s="594"/>
      <c r="E235" s="629"/>
      <c r="F235" s="630"/>
      <c r="G235" s="630"/>
      <c r="H235" s="629"/>
      <c r="I235" s="533"/>
      <c r="J235" s="533"/>
      <c r="K235" s="533"/>
      <c r="L235" s="532"/>
      <c r="M235" s="631"/>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row>
    <row r="236" spans="1:41" ht="12.95" customHeight="1" x14ac:dyDescent="0.2">
      <c r="A236" s="533"/>
      <c r="B236" s="533"/>
      <c r="C236" s="533"/>
      <c r="D236" s="594"/>
      <c r="E236" s="629"/>
      <c r="F236" s="630"/>
      <c r="G236" s="630"/>
      <c r="H236" s="629"/>
      <c r="I236" s="533"/>
      <c r="J236" s="533"/>
      <c r="K236" s="533"/>
      <c r="L236" s="532"/>
      <c r="M236" s="631"/>
      <c r="N236" s="533"/>
      <c r="O236" s="533"/>
      <c r="P236" s="533"/>
      <c r="Q236" s="533"/>
      <c r="R236" s="533"/>
      <c r="S236" s="533"/>
      <c r="T236" s="533"/>
      <c r="U236" s="533"/>
      <c r="V236" s="533"/>
      <c r="W236" s="533"/>
      <c r="X236" s="533"/>
      <c r="Y236" s="533"/>
      <c r="Z236" s="533"/>
      <c r="AA236" s="533"/>
      <c r="AB236" s="533"/>
      <c r="AC236" s="533"/>
      <c r="AD236" s="533"/>
      <c r="AE236" s="533"/>
      <c r="AF236" s="533"/>
      <c r="AG236" s="533"/>
      <c r="AH236" s="533"/>
      <c r="AI236" s="533"/>
      <c r="AJ236" s="533"/>
      <c r="AK236" s="533"/>
      <c r="AL236" s="533"/>
      <c r="AM236" s="533"/>
      <c r="AN236" s="533"/>
      <c r="AO236" s="533"/>
    </row>
    <row r="237" spans="1:41" ht="12.95" customHeight="1" x14ac:dyDescent="0.2">
      <c r="A237" s="533"/>
      <c r="B237" s="533"/>
      <c r="C237" s="533"/>
      <c r="D237" s="594"/>
      <c r="E237" s="629"/>
      <c r="F237" s="630"/>
      <c r="G237" s="630"/>
      <c r="H237" s="629"/>
      <c r="I237" s="533"/>
      <c r="J237" s="533"/>
      <c r="K237" s="533"/>
      <c r="L237" s="532"/>
      <c r="M237" s="631"/>
      <c r="N237" s="533"/>
      <c r="O237" s="533"/>
      <c r="P237" s="533"/>
      <c r="Q237" s="533"/>
      <c r="R237" s="533"/>
      <c r="S237" s="533"/>
      <c r="T237" s="533"/>
      <c r="U237" s="533"/>
      <c r="V237" s="533"/>
      <c r="W237" s="533"/>
      <c r="X237" s="533"/>
      <c r="Y237" s="533"/>
      <c r="Z237" s="533"/>
      <c r="AA237" s="533"/>
      <c r="AB237" s="533"/>
      <c r="AC237" s="533"/>
      <c r="AD237" s="533"/>
      <c r="AE237" s="533"/>
      <c r="AF237" s="533"/>
      <c r="AG237" s="533"/>
      <c r="AH237" s="533"/>
      <c r="AI237" s="533"/>
      <c r="AJ237" s="533"/>
      <c r="AK237" s="533"/>
      <c r="AL237" s="533"/>
      <c r="AM237" s="533"/>
      <c r="AN237" s="533"/>
      <c r="AO237" s="533"/>
    </row>
    <row r="238" spans="1:41" ht="12.95" customHeight="1" x14ac:dyDescent="0.2">
      <c r="A238" s="533"/>
      <c r="B238" s="533"/>
      <c r="C238" s="533"/>
      <c r="D238" s="594"/>
      <c r="E238" s="629"/>
      <c r="F238" s="630"/>
      <c r="G238" s="630"/>
      <c r="H238" s="629"/>
      <c r="I238" s="533"/>
      <c r="J238" s="533"/>
      <c r="K238" s="533"/>
      <c r="L238" s="532"/>
      <c r="M238" s="631"/>
      <c r="N238" s="533"/>
      <c r="O238" s="533"/>
      <c r="P238" s="533"/>
      <c r="Q238" s="533"/>
      <c r="R238" s="533"/>
      <c r="S238" s="533"/>
      <c r="T238" s="533"/>
      <c r="U238" s="533"/>
      <c r="V238" s="533"/>
      <c r="W238" s="533"/>
      <c r="X238" s="533"/>
      <c r="Y238" s="533"/>
      <c r="Z238" s="533"/>
      <c r="AA238" s="533"/>
      <c r="AB238" s="533"/>
      <c r="AC238" s="533"/>
      <c r="AD238" s="533"/>
      <c r="AE238" s="533"/>
      <c r="AF238" s="533"/>
      <c r="AG238" s="533"/>
      <c r="AH238" s="533"/>
      <c r="AI238" s="533"/>
      <c r="AJ238" s="533"/>
      <c r="AK238" s="533"/>
      <c r="AL238" s="533"/>
      <c r="AM238" s="533"/>
      <c r="AN238" s="533"/>
      <c r="AO238" s="533"/>
    </row>
    <row r="239" spans="1:41" ht="12.95" customHeight="1" x14ac:dyDescent="0.2">
      <c r="A239" s="533"/>
      <c r="B239" s="533"/>
      <c r="C239" s="533"/>
      <c r="D239" s="594"/>
      <c r="E239" s="629"/>
      <c r="F239" s="630"/>
      <c r="G239" s="630"/>
      <c r="H239" s="629"/>
      <c r="I239" s="533"/>
      <c r="J239" s="533"/>
      <c r="K239" s="533"/>
      <c r="L239" s="532"/>
      <c r="M239" s="631"/>
      <c r="N239" s="533"/>
      <c r="O239" s="533"/>
      <c r="P239" s="533"/>
      <c r="Q239" s="533"/>
      <c r="R239" s="533"/>
      <c r="S239" s="533"/>
      <c r="T239" s="533"/>
      <c r="U239" s="533"/>
      <c r="V239" s="533"/>
      <c r="W239" s="533"/>
      <c r="X239" s="533"/>
      <c r="Y239" s="533"/>
      <c r="Z239" s="533"/>
      <c r="AA239" s="533"/>
      <c r="AB239" s="533"/>
      <c r="AC239" s="533"/>
      <c r="AD239" s="533"/>
      <c r="AE239" s="533"/>
      <c r="AF239" s="533"/>
      <c r="AG239" s="533"/>
      <c r="AH239" s="533"/>
      <c r="AI239" s="533"/>
      <c r="AJ239" s="533"/>
      <c r="AK239" s="533"/>
      <c r="AL239" s="533"/>
      <c r="AM239" s="533"/>
      <c r="AN239" s="533"/>
      <c r="AO239" s="533"/>
    </row>
    <row r="240" spans="1:41" ht="12.95" customHeight="1" x14ac:dyDescent="0.2">
      <c r="A240" s="533"/>
      <c r="B240" s="533"/>
      <c r="C240" s="533"/>
      <c r="D240" s="594"/>
      <c r="E240" s="629"/>
      <c r="F240" s="630"/>
      <c r="G240" s="630"/>
      <c r="H240" s="629"/>
      <c r="I240" s="533"/>
      <c r="J240" s="533"/>
      <c r="K240" s="533"/>
      <c r="L240" s="532"/>
      <c r="M240" s="631"/>
      <c r="N240" s="533"/>
      <c r="O240" s="533"/>
      <c r="P240" s="533"/>
      <c r="Q240" s="533"/>
      <c r="R240" s="533"/>
      <c r="S240" s="533"/>
      <c r="T240" s="533"/>
      <c r="U240" s="533"/>
      <c r="V240" s="533"/>
      <c r="W240" s="533"/>
      <c r="X240" s="533"/>
      <c r="Y240" s="533"/>
      <c r="Z240" s="533"/>
      <c r="AA240" s="533"/>
      <c r="AB240" s="533"/>
      <c r="AC240" s="533"/>
      <c r="AD240" s="533"/>
      <c r="AE240" s="533"/>
      <c r="AF240" s="533"/>
      <c r="AG240" s="533"/>
      <c r="AH240" s="533"/>
      <c r="AI240" s="533"/>
      <c r="AJ240" s="533"/>
      <c r="AK240" s="533"/>
      <c r="AL240" s="533"/>
      <c r="AM240" s="533"/>
      <c r="AN240" s="533"/>
      <c r="AO240" s="533"/>
    </row>
    <row r="241" spans="1:41" ht="12.95" customHeight="1" x14ac:dyDescent="0.2">
      <c r="A241" s="533"/>
      <c r="B241" s="533"/>
      <c r="C241" s="533"/>
      <c r="D241" s="594"/>
      <c r="E241" s="629"/>
      <c r="F241" s="630"/>
      <c r="G241" s="630"/>
      <c r="H241" s="629"/>
      <c r="I241" s="533"/>
      <c r="J241" s="533"/>
      <c r="K241" s="533"/>
      <c r="L241" s="532"/>
      <c r="M241" s="631"/>
      <c r="N241" s="533"/>
      <c r="O241" s="533"/>
      <c r="P241" s="533"/>
      <c r="Q241" s="533"/>
      <c r="R241" s="533"/>
      <c r="S241" s="533"/>
      <c r="T241" s="533"/>
      <c r="U241" s="533"/>
      <c r="V241" s="533"/>
      <c r="W241" s="533"/>
      <c r="X241" s="533"/>
      <c r="Y241" s="533"/>
      <c r="Z241" s="533"/>
      <c r="AA241" s="533"/>
      <c r="AB241" s="533"/>
      <c r="AC241" s="533"/>
      <c r="AD241" s="533"/>
      <c r="AE241" s="533"/>
      <c r="AF241" s="533"/>
      <c r="AG241" s="533"/>
      <c r="AH241" s="533"/>
      <c r="AI241" s="533"/>
      <c r="AJ241" s="533"/>
      <c r="AK241" s="533"/>
      <c r="AL241" s="533"/>
      <c r="AM241" s="533"/>
      <c r="AN241" s="533"/>
      <c r="AO241" s="533"/>
    </row>
    <row r="242" spans="1:41" ht="12.95" customHeight="1" x14ac:dyDescent="0.2">
      <c r="A242" s="533"/>
      <c r="B242" s="533"/>
      <c r="C242" s="533"/>
      <c r="D242" s="594"/>
      <c r="E242" s="629"/>
      <c r="F242" s="630"/>
      <c r="G242" s="630"/>
      <c r="H242" s="629"/>
      <c r="I242" s="533"/>
      <c r="J242" s="533"/>
      <c r="K242" s="533"/>
      <c r="L242" s="532"/>
      <c r="M242" s="631"/>
      <c r="N242" s="533"/>
      <c r="O242" s="533"/>
      <c r="P242" s="533"/>
      <c r="Q242" s="533"/>
      <c r="R242" s="533"/>
      <c r="S242" s="533"/>
      <c r="T242" s="533"/>
      <c r="U242" s="533"/>
      <c r="V242" s="533"/>
      <c r="W242" s="533"/>
      <c r="X242" s="533"/>
      <c r="Y242" s="533"/>
      <c r="Z242" s="533"/>
      <c r="AA242" s="533"/>
      <c r="AB242" s="533"/>
      <c r="AC242" s="533"/>
      <c r="AD242" s="533"/>
      <c r="AE242" s="533"/>
      <c r="AF242" s="533"/>
      <c r="AG242" s="533"/>
      <c r="AH242" s="533"/>
      <c r="AI242" s="533"/>
      <c r="AJ242" s="533"/>
      <c r="AK242" s="533"/>
      <c r="AL242" s="533"/>
      <c r="AM242" s="533"/>
      <c r="AN242" s="533"/>
      <c r="AO242" s="533"/>
    </row>
    <row r="243" spans="1:41" ht="12.95" customHeight="1" x14ac:dyDescent="0.2">
      <c r="A243" s="533"/>
      <c r="B243" s="533"/>
      <c r="C243" s="533"/>
      <c r="D243" s="594"/>
      <c r="E243" s="629"/>
      <c r="F243" s="630"/>
      <c r="G243" s="630"/>
      <c r="H243" s="629"/>
      <c r="I243" s="533"/>
      <c r="J243" s="533"/>
      <c r="K243" s="533"/>
      <c r="L243" s="532"/>
      <c r="M243" s="631"/>
      <c r="N243" s="533"/>
      <c r="O243" s="533"/>
      <c r="P243" s="533"/>
      <c r="Q243" s="533"/>
      <c r="R243" s="533"/>
      <c r="S243" s="533"/>
      <c r="T243" s="533"/>
      <c r="U243" s="533"/>
      <c r="V243" s="533"/>
      <c r="W243" s="533"/>
      <c r="X243" s="533"/>
      <c r="Y243" s="533"/>
      <c r="Z243" s="533"/>
      <c r="AA243" s="533"/>
      <c r="AB243" s="533"/>
      <c r="AC243" s="533"/>
      <c r="AD243" s="533"/>
      <c r="AE243" s="533"/>
      <c r="AF243" s="533"/>
      <c r="AG243" s="533"/>
      <c r="AH243" s="533"/>
      <c r="AI243" s="533"/>
      <c r="AJ243" s="533"/>
      <c r="AK243" s="533"/>
      <c r="AL243" s="533"/>
      <c r="AM243" s="533"/>
      <c r="AN243" s="533"/>
      <c r="AO243" s="533"/>
    </row>
    <row r="244" spans="1:41" ht="12.95" customHeight="1" x14ac:dyDescent="0.2">
      <c r="A244" s="533"/>
      <c r="B244" s="533"/>
      <c r="C244" s="533"/>
      <c r="D244" s="594"/>
      <c r="E244" s="629"/>
      <c r="F244" s="630"/>
      <c r="G244" s="630"/>
      <c r="H244" s="629"/>
      <c r="I244" s="533"/>
      <c r="J244" s="533"/>
      <c r="K244" s="533"/>
      <c r="L244" s="532"/>
      <c r="M244" s="631"/>
      <c r="N244" s="533"/>
      <c r="O244" s="533"/>
      <c r="P244" s="533"/>
      <c r="Q244" s="533"/>
      <c r="R244" s="533"/>
      <c r="S244" s="533"/>
      <c r="T244" s="533"/>
      <c r="U244" s="533"/>
      <c r="V244" s="533"/>
      <c r="W244" s="533"/>
      <c r="X244" s="533"/>
      <c r="Y244" s="533"/>
      <c r="Z244" s="533"/>
      <c r="AA244" s="533"/>
      <c r="AB244" s="533"/>
      <c r="AC244" s="533"/>
      <c r="AD244" s="533"/>
      <c r="AE244" s="533"/>
      <c r="AF244" s="533"/>
      <c r="AG244" s="533"/>
      <c r="AH244" s="533"/>
      <c r="AI244" s="533"/>
      <c r="AJ244" s="533"/>
      <c r="AK244" s="533"/>
      <c r="AL244" s="533"/>
      <c r="AM244" s="533"/>
      <c r="AN244" s="533"/>
      <c r="AO244" s="533"/>
    </row>
    <row r="245" spans="1:41" ht="12.95" customHeight="1" x14ac:dyDescent="0.2">
      <c r="A245" s="533"/>
      <c r="B245" s="533"/>
      <c r="C245" s="533"/>
      <c r="D245" s="594"/>
      <c r="E245" s="629"/>
      <c r="F245" s="630"/>
      <c r="G245" s="630"/>
      <c r="H245" s="629"/>
      <c r="I245" s="533"/>
      <c r="J245" s="533"/>
      <c r="K245" s="533"/>
      <c r="L245" s="532"/>
      <c r="M245" s="631"/>
      <c r="N245" s="533"/>
      <c r="O245" s="533"/>
      <c r="P245" s="533"/>
      <c r="Q245" s="533"/>
      <c r="R245" s="533"/>
      <c r="S245" s="533"/>
      <c r="T245" s="533"/>
      <c r="U245" s="533"/>
      <c r="V245" s="533"/>
      <c r="W245" s="533"/>
      <c r="X245" s="533"/>
      <c r="Y245" s="533"/>
      <c r="Z245" s="533"/>
      <c r="AA245" s="533"/>
      <c r="AB245" s="533"/>
      <c r="AC245" s="533"/>
      <c r="AD245" s="533"/>
      <c r="AE245" s="533"/>
      <c r="AF245" s="533"/>
      <c r="AG245" s="533"/>
      <c r="AH245" s="533"/>
      <c r="AI245" s="533"/>
      <c r="AJ245" s="533"/>
      <c r="AK245" s="533"/>
      <c r="AL245" s="533"/>
      <c r="AM245" s="533"/>
      <c r="AN245" s="533"/>
      <c r="AO245" s="533"/>
    </row>
    <row r="246" spans="1:41" ht="12.95" customHeight="1" x14ac:dyDescent="0.2">
      <c r="A246" s="533"/>
      <c r="B246" s="533"/>
      <c r="C246" s="533"/>
      <c r="D246" s="594"/>
      <c r="E246" s="629"/>
      <c r="F246" s="630"/>
      <c r="G246" s="630"/>
      <c r="H246" s="629"/>
      <c r="I246" s="533"/>
      <c r="J246" s="533"/>
      <c r="K246" s="533"/>
      <c r="L246" s="532"/>
      <c r="M246" s="631"/>
      <c r="N246" s="533"/>
      <c r="O246" s="533"/>
      <c r="P246" s="533"/>
      <c r="Q246" s="533"/>
      <c r="R246" s="533"/>
      <c r="S246" s="533"/>
      <c r="T246" s="533"/>
      <c r="U246" s="533"/>
      <c r="V246" s="533"/>
      <c r="W246" s="533"/>
      <c r="X246" s="533"/>
      <c r="Y246" s="533"/>
      <c r="Z246" s="533"/>
      <c r="AA246" s="533"/>
      <c r="AB246" s="533"/>
      <c r="AC246" s="533"/>
      <c r="AD246" s="533"/>
      <c r="AE246" s="533"/>
      <c r="AF246" s="533"/>
      <c r="AG246" s="533"/>
      <c r="AH246" s="533"/>
      <c r="AI246" s="533"/>
      <c r="AJ246" s="533"/>
      <c r="AK246" s="533"/>
      <c r="AL246" s="533"/>
      <c r="AM246" s="533"/>
      <c r="AN246" s="533"/>
      <c r="AO246" s="533"/>
    </row>
    <row r="247" spans="1:41" ht="12.95" customHeight="1" x14ac:dyDescent="0.2">
      <c r="A247" s="533"/>
      <c r="B247" s="533"/>
      <c r="C247" s="533"/>
      <c r="D247" s="594"/>
      <c r="E247" s="629"/>
      <c r="F247" s="630"/>
      <c r="G247" s="630"/>
      <c r="H247" s="629"/>
      <c r="I247" s="533"/>
      <c r="J247" s="533"/>
      <c r="K247" s="533"/>
      <c r="L247" s="532"/>
      <c r="M247" s="631"/>
      <c r="N247" s="533"/>
      <c r="O247" s="533"/>
      <c r="P247" s="533"/>
      <c r="Q247" s="533"/>
      <c r="R247" s="533"/>
      <c r="S247" s="533"/>
      <c r="T247" s="533"/>
      <c r="U247" s="533"/>
      <c r="V247" s="533"/>
      <c r="W247" s="533"/>
      <c r="X247" s="533"/>
      <c r="Y247" s="533"/>
      <c r="Z247" s="533"/>
      <c r="AA247" s="533"/>
      <c r="AB247" s="533"/>
      <c r="AC247" s="533"/>
      <c r="AD247" s="533"/>
      <c r="AE247" s="533"/>
      <c r="AF247" s="533"/>
      <c r="AG247" s="533"/>
      <c r="AH247" s="533"/>
      <c r="AI247" s="533"/>
      <c r="AJ247" s="533"/>
      <c r="AK247" s="533"/>
      <c r="AL247" s="533"/>
      <c r="AM247" s="533"/>
      <c r="AN247" s="533"/>
      <c r="AO247" s="533"/>
    </row>
    <row r="248" spans="1:41" ht="12.95" customHeight="1" x14ac:dyDescent="0.2">
      <c r="A248" s="533"/>
      <c r="B248" s="533"/>
      <c r="C248" s="533"/>
      <c r="D248" s="594"/>
      <c r="E248" s="629"/>
      <c r="F248" s="630"/>
      <c r="G248" s="630"/>
      <c r="H248" s="629"/>
      <c r="I248" s="533"/>
      <c r="J248" s="533"/>
      <c r="K248" s="533"/>
      <c r="L248" s="532"/>
      <c r="M248" s="631"/>
      <c r="N248" s="533"/>
      <c r="O248" s="533"/>
      <c r="P248" s="533"/>
      <c r="Q248" s="533"/>
      <c r="R248" s="533"/>
      <c r="S248" s="533"/>
      <c r="T248" s="533"/>
      <c r="U248" s="533"/>
      <c r="V248" s="533"/>
      <c r="W248" s="533"/>
      <c r="X248" s="533"/>
      <c r="Y248" s="533"/>
      <c r="Z248" s="533"/>
      <c r="AA248" s="533"/>
      <c r="AB248" s="533"/>
      <c r="AC248" s="533"/>
      <c r="AD248" s="533"/>
      <c r="AE248" s="533"/>
      <c r="AF248" s="533"/>
      <c r="AG248" s="533"/>
      <c r="AH248" s="533"/>
      <c r="AI248" s="533"/>
      <c r="AJ248" s="533"/>
      <c r="AK248" s="533"/>
      <c r="AL248" s="533"/>
      <c r="AM248" s="533"/>
      <c r="AN248" s="533"/>
      <c r="AO248" s="533"/>
    </row>
    <row r="249" spans="1:41" ht="12.95" customHeight="1" x14ac:dyDescent="0.2">
      <c r="A249" s="533"/>
      <c r="B249" s="533"/>
      <c r="C249" s="533"/>
      <c r="D249" s="594"/>
      <c r="E249" s="629"/>
      <c r="F249" s="630"/>
      <c r="G249" s="630"/>
      <c r="H249" s="629"/>
      <c r="I249" s="533"/>
      <c r="J249" s="533"/>
      <c r="K249" s="533"/>
      <c r="L249" s="532"/>
      <c r="M249" s="631"/>
      <c r="N249" s="533"/>
      <c r="O249" s="533"/>
      <c r="P249" s="533"/>
      <c r="Q249" s="533"/>
      <c r="R249" s="533"/>
      <c r="S249" s="533"/>
      <c r="T249" s="533"/>
      <c r="U249" s="533"/>
      <c r="V249" s="533"/>
      <c r="W249" s="533"/>
      <c r="X249" s="533"/>
      <c r="Y249" s="533"/>
      <c r="Z249" s="533"/>
      <c r="AA249" s="533"/>
      <c r="AB249" s="533"/>
      <c r="AC249" s="533"/>
      <c r="AD249" s="533"/>
      <c r="AE249" s="533"/>
      <c r="AF249" s="533"/>
      <c r="AG249" s="533"/>
      <c r="AH249" s="533"/>
      <c r="AI249" s="533"/>
      <c r="AJ249" s="533"/>
      <c r="AK249" s="533"/>
      <c r="AL249" s="533"/>
      <c r="AM249" s="533"/>
      <c r="AN249" s="533"/>
      <c r="AO249" s="533"/>
    </row>
    <row r="250" spans="1:41" ht="12.95" customHeight="1" x14ac:dyDescent="0.2">
      <c r="A250" s="533"/>
      <c r="B250" s="533"/>
      <c r="C250" s="533"/>
      <c r="D250" s="594"/>
      <c r="E250" s="629"/>
      <c r="F250" s="630"/>
      <c r="G250" s="630"/>
      <c r="H250" s="629"/>
      <c r="I250" s="533"/>
      <c r="J250" s="533"/>
      <c r="K250" s="533"/>
      <c r="L250" s="532"/>
      <c r="M250" s="631"/>
      <c r="N250" s="533"/>
      <c r="O250" s="53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row>
    <row r="251" spans="1:41" ht="12.95" customHeight="1" x14ac:dyDescent="0.2">
      <c r="A251" s="533"/>
      <c r="B251" s="533"/>
      <c r="C251" s="533"/>
      <c r="D251" s="594"/>
      <c r="E251" s="629"/>
      <c r="F251" s="630"/>
      <c r="G251" s="630"/>
      <c r="H251" s="629"/>
      <c r="I251" s="533"/>
      <c r="J251" s="533"/>
      <c r="K251" s="533"/>
      <c r="L251" s="532"/>
      <c r="M251" s="631"/>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row>
    <row r="252" spans="1:41" ht="12.95" customHeight="1" x14ac:dyDescent="0.2">
      <c r="A252" s="533"/>
      <c r="B252" s="533"/>
      <c r="C252" s="533"/>
      <c r="D252" s="594"/>
      <c r="E252" s="629"/>
      <c r="F252" s="630"/>
      <c r="G252" s="630"/>
      <c r="H252" s="629"/>
      <c r="I252" s="533"/>
      <c r="J252" s="533"/>
      <c r="K252" s="533"/>
      <c r="L252" s="532"/>
      <c r="M252" s="631"/>
      <c r="N252" s="533"/>
      <c r="O252" s="533"/>
      <c r="P252" s="533"/>
      <c r="Q252" s="533"/>
      <c r="R252" s="533"/>
      <c r="S252" s="533"/>
      <c r="T252" s="533"/>
      <c r="U252" s="533"/>
      <c r="V252" s="533"/>
      <c r="W252" s="533"/>
      <c r="X252" s="533"/>
      <c r="Y252" s="533"/>
      <c r="Z252" s="533"/>
      <c r="AA252" s="533"/>
      <c r="AB252" s="533"/>
      <c r="AC252" s="533"/>
      <c r="AD252" s="533"/>
      <c r="AE252" s="533"/>
      <c r="AF252" s="533"/>
      <c r="AG252" s="533"/>
      <c r="AH252" s="533"/>
      <c r="AI252" s="533"/>
      <c r="AJ252" s="533"/>
      <c r="AK252" s="533"/>
      <c r="AL252" s="533"/>
      <c r="AM252" s="533"/>
      <c r="AN252" s="533"/>
      <c r="AO252" s="533"/>
    </row>
    <row r="253" spans="1:41" ht="12.95" customHeight="1" x14ac:dyDescent="0.2">
      <c r="A253" s="533"/>
      <c r="B253" s="533"/>
      <c r="C253" s="533"/>
      <c r="D253" s="594"/>
      <c r="E253" s="629"/>
      <c r="F253" s="630"/>
      <c r="G253" s="630"/>
      <c r="H253" s="629"/>
      <c r="I253" s="533"/>
      <c r="J253" s="533"/>
      <c r="K253" s="533"/>
      <c r="L253" s="532"/>
      <c r="M253" s="631"/>
      <c r="N253" s="533"/>
      <c r="O253" s="533"/>
      <c r="P253" s="533"/>
      <c r="Q253" s="533"/>
      <c r="R253" s="533"/>
      <c r="S253" s="533"/>
      <c r="T253" s="533"/>
      <c r="U253" s="533"/>
      <c r="V253" s="533"/>
      <c r="W253" s="533"/>
      <c r="X253" s="533"/>
      <c r="Y253" s="533"/>
      <c r="Z253" s="533"/>
      <c r="AA253" s="533"/>
      <c r="AB253" s="533"/>
      <c r="AC253" s="533"/>
      <c r="AD253" s="533"/>
      <c r="AE253" s="533"/>
      <c r="AF253" s="533"/>
      <c r="AG253" s="533"/>
      <c r="AH253" s="533"/>
      <c r="AI253" s="533"/>
      <c r="AJ253" s="533"/>
      <c r="AK253" s="533"/>
      <c r="AL253" s="533"/>
      <c r="AM253" s="533"/>
      <c r="AN253" s="533"/>
      <c r="AO253" s="533"/>
    </row>
    <row r="254" spans="1:41" ht="12.95" customHeight="1" x14ac:dyDescent="0.2">
      <c r="A254" s="533"/>
      <c r="B254" s="533"/>
      <c r="C254" s="533"/>
      <c r="D254" s="594"/>
      <c r="E254" s="629"/>
      <c r="F254" s="630"/>
      <c r="G254" s="630"/>
      <c r="H254" s="629"/>
      <c r="I254" s="533"/>
      <c r="J254" s="533"/>
      <c r="K254" s="533"/>
      <c r="L254" s="532"/>
      <c r="M254" s="631"/>
      <c r="N254" s="533"/>
      <c r="O254" s="533"/>
      <c r="P254" s="533"/>
      <c r="Q254" s="533"/>
      <c r="R254" s="533"/>
      <c r="S254" s="533"/>
      <c r="T254" s="533"/>
      <c r="U254" s="533"/>
      <c r="V254" s="533"/>
      <c r="W254" s="533"/>
      <c r="X254" s="533"/>
      <c r="Y254" s="533"/>
      <c r="Z254" s="533"/>
      <c r="AA254" s="533"/>
      <c r="AB254" s="533"/>
      <c r="AC254" s="533"/>
      <c r="AD254" s="533"/>
      <c r="AE254" s="533"/>
      <c r="AF254" s="533"/>
      <c r="AG254" s="533"/>
      <c r="AH254" s="533"/>
      <c r="AI254" s="533"/>
      <c r="AJ254" s="533"/>
      <c r="AK254" s="533"/>
      <c r="AL254" s="533"/>
      <c r="AM254" s="533"/>
      <c r="AN254" s="533"/>
      <c r="AO254" s="533"/>
    </row>
    <row r="255" spans="1:41" ht="12.95" customHeight="1" x14ac:dyDescent="0.2">
      <c r="A255" s="533"/>
      <c r="B255" s="533"/>
      <c r="C255" s="533"/>
      <c r="D255" s="594"/>
      <c r="E255" s="629"/>
      <c r="F255" s="630"/>
      <c r="G255" s="630"/>
      <c r="H255" s="629"/>
      <c r="I255" s="533"/>
      <c r="J255" s="533"/>
      <c r="K255" s="533"/>
      <c r="L255" s="532"/>
      <c r="M255" s="631"/>
      <c r="N255" s="533"/>
      <c r="O255" s="533"/>
      <c r="P255" s="533"/>
      <c r="Q255" s="533"/>
      <c r="R255" s="533"/>
      <c r="S255" s="533"/>
      <c r="T255" s="533"/>
      <c r="U255" s="533"/>
      <c r="V255" s="533"/>
      <c r="W255" s="533"/>
      <c r="X255" s="533"/>
      <c r="Y255" s="533"/>
      <c r="Z255" s="533"/>
      <c r="AA255" s="533"/>
      <c r="AB255" s="533"/>
      <c r="AC255" s="533"/>
      <c r="AD255" s="533"/>
      <c r="AE255" s="533"/>
      <c r="AF255" s="533"/>
      <c r="AG255" s="533"/>
      <c r="AH255" s="533"/>
      <c r="AI255" s="533"/>
      <c r="AJ255" s="533"/>
      <c r="AK255" s="533"/>
      <c r="AL255" s="533"/>
      <c r="AM255" s="533"/>
      <c r="AN255" s="533"/>
      <c r="AO255" s="533"/>
    </row>
    <row r="256" spans="1:41" ht="12.95" customHeight="1" x14ac:dyDescent="0.2">
      <c r="A256" s="533"/>
      <c r="B256" s="533"/>
      <c r="C256" s="533"/>
      <c r="D256" s="594"/>
      <c r="E256" s="629"/>
      <c r="F256" s="630"/>
      <c r="G256" s="630"/>
      <c r="H256" s="629"/>
      <c r="I256" s="533"/>
      <c r="J256" s="533"/>
      <c r="K256" s="533"/>
      <c r="L256" s="532"/>
      <c r="M256" s="631"/>
      <c r="N256" s="533"/>
      <c r="O256" s="53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row>
    <row r="257" spans="1:41" ht="12.95" customHeight="1" x14ac:dyDescent="0.2">
      <c r="A257" s="533"/>
      <c r="B257" s="533"/>
      <c r="C257" s="533"/>
      <c r="D257" s="594"/>
      <c r="E257" s="629"/>
      <c r="F257" s="630"/>
      <c r="G257" s="630"/>
      <c r="H257" s="629"/>
      <c r="I257" s="533"/>
      <c r="J257" s="533"/>
      <c r="K257" s="533"/>
      <c r="L257" s="532"/>
      <c r="M257" s="631"/>
      <c r="N257" s="533"/>
      <c r="O257" s="53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row>
    <row r="258" spans="1:41" ht="12.95" customHeight="1" x14ac:dyDescent="0.2">
      <c r="A258" s="533"/>
      <c r="B258" s="533"/>
      <c r="C258" s="533"/>
      <c r="D258" s="594"/>
      <c r="E258" s="629"/>
      <c r="F258" s="630"/>
      <c r="G258" s="630"/>
      <c r="H258" s="629"/>
      <c r="I258" s="533"/>
      <c r="J258" s="533"/>
      <c r="K258" s="533"/>
      <c r="L258" s="532"/>
      <c r="M258" s="631"/>
      <c r="N258" s="533"/>
      <c r="O258" s="533"/>
      <c r="P258" s="533"/>
      <c r="Q258" s="533"/>
      <c r="R258" s="533"/>
      <c r="S258" s="533"/>
      <c r="T258" s="533"/>
      <c r="U258" s="533"/>
      <c r="V258" s="533"/>
      <c r="W258" s="533"/>
      <c r="X258" s="533"/>
      <c r="Y258" s="533"/>
      <c r="Z258" s="533"/>
      <c r="AA258" s="533"/>
      <c r="AB258" s="533"/>
      <c r="AC258" s="533"/>
      <c r="AD258" s="533"/>
      <c r="AE258" s="533"/>
      <c r="AF258" s="533"/>
      <c r="AG258" s="533"/>
      <c r="AH258" s="533"/>
      <c r="AI258" s="533"/>
      <c r="AJ258" s="533"/>
      <c r="AK258" s="533"/>
      <c r="AL258" s="533"/>
      <c r="AM258" s="533"/>
      <c r="AN258" s="533"/>
      <c r="AO258" s="533"/>
    </row>
    <row r="259" spans="1:41" ht="12.95" customHeight="1" x14ac:dyDescent="0.2">
      <c r="A259" s="533"/>
      <c r="B259" s="533"/>
      <c r="C259" s="533"/>
      <c r="D259" s="594"/>
      <c r="E259" s="629"/>
      <c r="F259" s="630"/>
      <c r="G259" s="630"/>
      <c r="H259" s="629"/>
      <c r="I259" s="533"/>
      <c r="J259" s="533"/>
      <c r="K259" s="533"/>
      <c r="L259" s="532"/>
      <c r="M259" s="631"/>
      <c r="N259" s="533"/>
      <c r="O259" s="533"/>
      <c r="P259" s="533"/>
      <c r="Q259" s="533"/>
      <c r="R259" s="533"/>
      <c r="S259" s="533"/>
      <c r="T259" s="533"/>
      <c r="U259" s="533"/>
      <c r="V259" s="533"/>
      <c r="W259" s="533"/>
      <c r="X259" s="533"/>
      <c r="Y259" s="533"/>
      <c r="Z259" s="533"/>
      <c r="AA259" s="533"/>
      <c r="AB259" s="533"/>
      <c r="AC259" s="533"/>
      <c r="AD259" s="533"/>
      <c r="AE259" s="533"/>
      <c r="AF259" s="533"/>
      <c r="AG259" s="533"/>
      <c r="AH259" s="533"/>
      <c r="AI259" s="533"/>
      <c r="AJ259" s="533"/>
      <c r="AK259" s="533"/>
      <c r="AL259" s="533"/>
      <c r="AM259" s="533"/>
      <c r="AN259" s="533"/>
      <c r="AO259" s="533"/>
    </row>
    <row r="260" spans="1:41" ht="12.95" customHeight="1" x14ac:dyDescent="0.2">
      <c r="A260" s="533"/>
      <c r="B260" s="533"/>
      <c r="C260" s="533"/>
      <c r="D260" s="594"/>
      <c r="E260" s="629"/>
      <c r="F260" s="630"/>
      <c r="G260" s="630"/>
      <c r="H260" s="629"/>
      <c r="I260" s="533"/>
      <c r="J260" s="533"/>
      <c r="K260" s="533"/>
      <c r="L260" s="532"/>
      <c r="M260" s="631"/>
      <c r="N260" s="533"/>
      <c r="O260" s="533"/>
      <c r="P260" s="533"/>
      <c r="Q260" s="533"/>
      <c r="R260" s="533"/>
      <c r="S260" s="533"/>
      <c r="T260" s="533"/>
      <c r="U260" s="533"/>
      <c r="V260" s="533"/>
      <c r="W260" s="533"/>
      <c r="X260" s="533"/>
      <c r="Y260" s="533"/>
      <c r="Z260" s="533"/>
      <c r="AA260" s="533"/>
      <c r="AB260" s="533"/>
      <c r="AC260" s="533"/>
      <c r="AD260" s="533"/>
      <c r="AE260" s="533"/>
      <c r="AF260" s="533"/>
      <c r="AG260" s="533"/>
      <c r="AH260" s="533"/>
      <c r="AI260" s="533"/>
      <c r="AJ260" s="533"/>
      <c r="AK260" s="533"/>
      <c r="AL260" s="533"/>
      <c r="AM260" s="533"/>
      <c r="AN260" s="533"/>
      <c r="AO260" s="533"/>
    </row>
    <row r="261" spans="1:41" ht="12.95" customHeight="1" x14ac:dyDescent="0.2">
      <c r="A261" s="533"/>
      <c r="B261" s="533"/>
      <c r="C261" s="533"/>
      <c r="D261" s="594"/>
      <c r="E261" s="629"/>
      <c r="F261" s="630"/>
      <c r="G261" s="630"/>
      <c r="H261" s="629"/>
      <c r="I261" s="533"/>
      <c r="J261" s="533"/>
      <c r="K261" s="533"/>
      <c r="L261" s="532"/>
      <c r="M261" s="631"/>
      <c r="N261" s="533"/>
      <c r="O261" s="533"/>
      <c r="P261" s="533"/>
      <c r="Q261" s="533"/>
      <c r="R261" s="533"/>
      <c r="S261" s="533"/>
      <c r="T261" s="533"/>
      <c r="U261" s="533"/>
      <c r="V261" s="533"/>
      <c r="W261" s="533"/>
      <c r="X261" s="533"/>
      <c r="Y261" s="533"/>
      <c r="Z261" s="533"/>
      <c r="AA261" s="533"/>
      <c r="AB261" s="533"/>
      <c r="AC261" s="533"/>
      <c r="AD261" s="533"/>
      <c r="AE261" s="533"/>
      <c r="AF261" s="533"/>
      <c r="AG261" s="533"/>
      <c r="AH261" s="533"/>
      <c r="AI261" s="533"/>
      <c r="AJ261" s="533"/>
      <c r="AK261" s="533"/>
      <c r="AL261" s="533"/>
      <c r="AM261" s="533"/>
      <c r="AN261" s="533"/>
      <c r="AO261" s="533"/>
    </row>
    <row r="262" spans="1:41" ht="12.95" customHeight="1" x14ac:dyDescent="0.2">
      <c r="A262" s="533"/>
      <c r="B262" s="533"/>
      <c r="C262" s="533"/>
      <c r="D262" s="594"/>
      <c r="E262" s="629"/>
      <c r="F262" s="630"/>
      <c r="G262" s="630"/>
      <c r="H262" s="629"/>
      <c r="I262" s="533"/>
      <c r="J262" s="533"/>
      <c r="K262" s="533"/>
      <c r="L262" s="532"/>
      <c r="M262" s="631"/>
      <c r="N262" s="533"/>
      <c r="O262" s="533"/>
      <c r="P262" s="533"/>
      <c r="Q262" s="533"/>
      <c r="R262" s="533"/>
      <c r="S262" s="533"/>
      <c r="T262" s="533"/>
      <c r="U262" s="533"/>
      <c r="V262" s="533"/>
      <c r="W262" s="533"/>
      <c r="X262" s="533"/>
      <c r="Y262" s="533"/>
      <c r="Z262" s="533"/>
      <c r="AA262" s="533"/>
      <c r="AB262" s="533"/>
      <c r="AC262" s="533"/>
      <c r="AD262" s="533"/>
      <c r="AE262" s="533"/>
      <c r="AF262" s="533"/>
      <c r="AG262" s="533"/>
      <c r="AH262" s="533"/>
      <c r="AI262" s="533"/>
      <c r="AJ262" s="533"/>
      <c r="AK262" s="533"/>
      <c r="AL262" s="533"/>
      <c r="AM262" s="533"/>
      <c r="AN262" s="533"/>
      <c r="AO262" s="533"/>
    </row>
    <row r="263" spans="1:41" ht="12.95" customHeight="1" x14ac:dyDescent="0.2">
      <c r="A263" s="533"/>
      <c r="B263" s="533"/>
      <c r="C263" s="533"/>
      <c r="D263" s="594"/>
      <c r="E263" s="629"/>
      <c r="F263" s="630"/>
      <c r="G263" s="630"/>
      <c r="H263" s="629"/>
      <c r="I263" s="533"/>
      <c r="J263" s="533"/>
      <c r="K263" s="533"/>
      <c r="L263" s="532"/>
      <c r="M263" s="631"/>
      <c r="N263" s="533"/>
      <c r="O263" s="53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row>
    <row r="264" spans="1:41" ht="12.95" customHeight="1" x14ac:dyDescent="0.2">
      <c r="A264" s="533"/>
      <c r="B264" s="533"/>
      <c r="C264" s="533"/>
      <c r="D264" s="594"/>
      <c r="E264" s="629"/>
      <c r="F264" s="630"/>
      <c r="G264" s="630"/>
      <c r="H264" s="629"/>
      <c r="I264" s="533"/>
      <c r="J264" s="533"/>
      <c r="K264" s="533"/>
      <c r="L264" s="532"/>
      <c r="M264" s="631"/>
      <c r="N264" s="533"/>
      <c r="O264" s="53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row>
    <row r="265" spans="1:41" ht="12.95" customHeight="1" x14ac:dyDescent="0.2">
      <c r="A265" s="533"/>
      <c r="B265" s="533"/>
      <c r="C265" s="533"/>
      <c r="D265" s="594"/>
      <c r="E265" s="629"/>
      <c r="F265" s="630"/>
      <c r="G265" s="630"/>
      <c r="H265" s="629"/>
      <c r="I265" s="533"/>
      <c r="J265" s="533"/>
      <c r="K265" s="533"/>
      <c r="L265" s="532"/>
      <c r="M265" s="631"/>
      <c r="N265" s="533"/>
      <c r="O265" s="533"/>
      <c r="P265" s="533"/>
      <c r="Q265" s="533"/>
      <c r="R265" s="533"/>
      <c r="S265" s="533"/>
      <c r="T265" s="533"/>
      <c r="U265" s="533"/>
      <c r="V265" s="533"/>
      <c r="W265" s="533"/>
      <c r="X265" s="533"/>
      <c r="Y265" s="533"/>
      <c r="Z265" s="533"/>
      <c r="AA265" s="533"/>
      <c r="AB265" s="533"/>
      <c r="AC265" s="533"/>
      <c r="AD265" s="533"/>
      <c r="AE265" s="533"/>
      <c r="AF265" s="533"/>
      <c r="AG265" s="533"/>
      <c r="AH265" s="533"/>
      <c r="AI265" s="533"/>
      <c r="AJ265" s="533"/>
      <c r="AK265" s="533"/>
      <c r="AL265" s="533"/>
      <c r="AM265" s="533"/>
      <c r="AN265" s="533"/>
      <c r="AO265" s="533"/>
    </row>
    <row r="266" spans="1:41" ht="12.95" customHeight="1" x14ac:dyDescent="0.2">
      <c r="A266" s="533"/>
      <c r="B266" s="533"/>
      <c r="C266" s="533"/>
      <c r="D266" s="594"/>
      <c r="E266" s="629"/>
      <c r="F266" s="630"/>
      <c r="G266" s="630"/>
      <c r="H266" s="629"/>
      <c r="I266" s="533"/>
      <c r="J266" s="533"/>
      <c r="K266" s="533"/>
      <c r="L266" s="532"/>
      <c r="M266" s="631"/>
      <c r="N266" s="533"/>
      <c r="O266" s="533"/>
      <c r="P266" s="533"/>
      <c r="Q266" s="533"/>
      <c r="R266" s="533"/>
      <c r="S266" s="533"/>
      <c r="T266" s="533"/>
      <c r="U266" s="533"/>
      <c r="V266" s="533"/>
      <c r="W266" s="533"/>
      <c r="X266" s="533"/>
      <c r="Y266" s="533"/>
      <c r="Z266" s="533"/>
      <c r="AA266" s="533"/>
      <c r="AB266" s="533"/>
      <c r="AC266" s="533"/>
      <c r="AD266" s="533"/>
      <c r="AE266" s="533"/>
      <c r="AF266" s="533"/>
      <c r="AG266" s="533"/>
      <c r="AH266" s="533"/>
      <c r="AI266" s="533"/>
      <c r="AJ266" s="533"/>
      <c r="AK266" s="533"/>
      <c r="AL266" s="533"/>
      <c r="AM266" s="533"/>
      <c r="AN266" s="533"/>
      <c r="AO266" s="533"/>
    </row>
    <row r="267" spans="1:41" ht="12.95" customHeight="1" x14ac:dyDescent="0.2">
      <c r="A267" s="533"/>
      <c r="B267" s="533"/>
      <c r="C267" s="533"/>
      <c r="D267" s="594"/>
      <c r="E267" s="629"/>
      <c r="F267" s="630"/>
      <c r="G267" s="630"/>
      <c r="H267" s="629"/>
      <c r="I267" s="533"/>
      <c r="J267" s="533"/>
      <c r="K267" s="533"/>
      <c r="L267" s="532"/>
      <c r="M267" s="631"/>
      <c r="N267" s="533"/>
      <c r="O267" s="533"/>
      <c r="P267" s="533"/>
      <c r="Q267" s="533"/>
      <c r="R267" s="533"/>
      <c r="S267" s="533"/>
      <c r="T267" s="533"/>
      <c r="U267" s="533"/>
      <c r="V267" s="533"/>
      <c r="W267" s="533"/>
      <c r="X267" s="533"/>
      <c r="Y267" s="533"/>
      <c r="Z267" s="533"/>
      <c r="AA267" s="533"/>
      <c r="AB267" s="533"/>
      <c r="AC267" s="533"/>
      <c r="AD267" s="533"/>
      <c r="AE267" s="533"/>
      <c r="AF267" s="533"/>
      <c r="AG267" s="533"/>
      <c r="AH267" s="533"/>
      <c r="AI267" s="533"/>
      <c r="AJ267" s="533"/>
      <c r="AK267" s="533"/>
      <c r="AL267" s="533"/>
      <c r="AM267" s="533"/>
      <c r="AN267" s="533"/>
      <c r="AO267" s="533"/>
    </row>
    <row r="268" spans="1:41" ht="12.95" customHeight="1" x14ac:dyDescent="0.2">
      <c r="A268" s="533"/>
      <c r="B268" s="533"/>
      <c r="C268" s="533"/>
      <c r="D268" s="594"/>
      <c r="E268" s="629"/>
      <c r="F268" s="630"/>
      <c r="G268" s="630"/>
      <c r="H268" s="629"/>
      <c r="I268" s="533"/>
      <c r="J268" s="533"/>
      <c r="K268" s="533"/>
      <c r="L268" s="532"/>
      <c r="M268" s="631"/>
      <c r="N268" s="533"/>
      <c r="O268" s="533"/>
      <c r="P268" s="533"/>
      <c r="Q268" s="533"/>
      <c r="R268" s="533"/>
      <c r="S268" s="533"/>
      <c r="T268" s="533"/>
      <c r="U268" s="533"/>
      <c r="V268" s="533"/>
      <c r="W268" s="533"/>
      <c r="X268" s="533"/>
      <c r="Y268" s="533"/>
      <c r="Z268" s="533"/>
      <c r="AA268" s="533"/>
      <c r="AB268" s="533"/>
      <c r="AC268" s="533"/>
      <c r="AD268" s="533"/>
      <c r="AE268" s="533"/>
      <c r="AF268" s="533"/>
      <c r="AG268" s="533"/>
      <c r="AH268" s="533"/>
      <c r="AI268" s="533"/>
      <c r="AJ268" s="533"/>
      <c r="AK268" s="533"/>
      <c r="AL268" s="533"/>
      <c r="AM268" s="533"/>
      <c r="AN268" s="533"/>
      <c r="AO268" s="533"/>
    </row>
    <row r="269" spans="1:41" ht="12.95" customHeight="1" x14ac:dyDescent="0.2">
      <c r="A269" s="533"/>
      <c r="B269" s="533"/>
      <c r="C269" s="533"/>
      <c r="D269" s="594"/>
      <c r="E269" s="629"/>
      <c r="F269" s="630"/>
      <c r="G269" s="630"/>
      <c r="H269" s="629"/>
      <c r="I269" s="533"/>
      <c r="J269" s="533"/>
      <c r="K269" s="533"/>
      <c r="L269" s="532"/>
      <c r="M269" s="631"/>
      <c r="N269" s="533"/>
      <c r="O269" s="533"/>
      <c r="P269" s="533"/>
      <c r="Q269" s="533"/>
      <c r="R269" s="533"/>
      <c r="S269" s="533"/>
      <c r="T269" s="533"/>
      <c r="U269" s="533"/>
      <c r="V269" s="533"/>
      <c r="W269" s="533"/>
      <c r="X269" s="533"/>
      <c r="Y269" s="533"/>
      <c r="Z269" s="533"/>
      <c r="AA269" s="533"/>
      <c r="AB269" s="533"/>
      <c r="AC269" s="533"/>
      <c r="AD269" s="533"/>
      <c r="AE269" s="533"/>
      <c r="AF269" s="533"/>
      <c r="AG269" s="533"/>
      <c r="AH269" s="533"/>
      <c r="AI269" s="533"/>
      <c r="AJ269" s="533"/>
      <c r="AK269" s="533"/>
      <c r="AL269" s="533"/>
      <c r="AM269" s="533"/>
      <c r="AN269" s="533"/>
      <c r="AO269" s="533"/>
    </row>
    <row r="270" spans="1:41" ht="12.95" customHeight="1" x14ac:dyDescent="0.2">
      <c r="A270" s="533"/>
      <c r="B270" s="533"/>
      <c r="C270" s="533"/>
      <c r="D270" s="594"/>
      <c r="E270" s="629"/>
      <c r="F270" s="630"/>
      <c r="G270" s="630"/>
      <c r="H270" s="629"/>
      <c r="I270" s="533"/>
      <c r="J270" s="533"/>
      <c r="K270" s="533"/>
      <c r="L270" s="532"/>
      <c r="M270" s="631"/>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row>
    <row r="271" spans="1:41" ht="12.95" customHeight="1" x14ac:dyDescent="0.2">
      <c r="A271" s="533"/>
      <c r="B271" s="533"/>
      <c r="C271" s="533"/>
      <c r="D271" s="594"/>
      <c r="E271" s="629"/>
      <c r="F271" s="630"/>
      <c r="G271" s="630"/>
      <c r="H271" s="629"/>
      <c r="I271" s="533"/>
      <c r="J271" s="533"/>
      <c r="K271" s="533"/>
      <c r="L271" s="532"/>
      <c r="M271" s="631"/>
      <c r="N271" s="533"/>
      <c r="O271" s="53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row>
    <row r="272" spans="1:41" ht="12.95" customHeight="1" x14ac:dyDescent="0.2">
      <c r="A272" s="533"/>
      <c r="B272" s="533"/>
      <c r="C272" s="533"/>
      <c r="D272" s="594"/>
      <c r="E272" s="629"/>
      <c r="F272" s="630"/>
      <c r="G272" s="630"/>
      <c r="H272" s="629"/>
      <c r="I272" s="533"/>
      <c r="J272" s="533"/>
      <c r="K272" s="533"/>
      <c r="L272" s="532"/>
      <c r="M272" s="631"/>
      <c r="N272" s="533"/>
      <c r="O272" s="533"/>
      <c r="P272" s="533"/>
      <c r="Q272" s="533"/>
      <c r="R272" s="533"/>
      <c r="S272" s="533"/>
      <c r="T272" s="533"/>
      <c r="U272" s="533"/>
      <c r="V272" s="533"/>
      <c r="W272" s="533"/>
      <c r="X272" s="533"/>
      <c r="Y272" s="533"/>
      <c r="Z272" s="533"/>
      <c r="AA272" s="533"/>
      <c r="AB272" s="533"/>
      <c r="AC272" s="533"/>
      <c r="AD272" s="533"/>
      <c r="AE272" s="533"/>
      <c r="AF272" s="533"/>
      <c r="AG272" s="533"/>
      <c r="AH272" s="533"/>
      <c r="AI272" s="533"/>
      <c r="AJ272" s="533"/>
      <c r="AK272" s="533"/>
      <c r="AL272" s="533"/>
      <c r="AM272" s="533"/>
      <c r="AN272" s="533"/>
      <c r="AO272" s="533"/>
    </row>
    <row r="273" spans="1:41" ht="12.95" customHeight="1" x14ac:dyDescent="0.2">
      <c r="A273" s="533"/>
      <c r="B273" s="533"/>
      <c r="C273" s="533"/>
      <c r="D273" s="594"/>
      <c r="E273" s="629"/>
      <c r="F273" s="630"/>
      <c r="G273" s="630"/>
      <c r="H273" s="629"/>
      <c r="I273" s="533"/>
      <c r="J273" s="533"/>
      <c r="K273" s="533"/>
      <c r="L273" s="532"/>
      <c r="M273" s="631"/>
      <c r="N273" s="533"/>
      <c r="O273" s="533"/>
      <c r="P273" s="533"/>
      <c r="Q273" s="533"/>
      <c r="R273" s="533"/>
      <c r="S273" s="533"/>
      <c r="T273" s="533"/>
      <c r="U273" s="533"/>
      <c r="V273" s="533"/>
      <c r="W273" s="533"/>
      <c r="X273" s="533"/>
      <c r="Y273" s="533"/>
      <c r="Z273" s="533"/>
      <c r="AA273" s="533"/>
      <c r="AB273" s="533"/>
      <c r="AC273" s="533"/>
      <c r="AD273" s="533"/>
      <c r="AE273" s="533"/>
      <c r="AF273" s="533"/>
      <c r="AG273" s="533"/>
      <c r="AH273" s="533"/>
      <c r="AI273" s="533"/>
      <c r="AJ273" s="533"/>
      <c r="AK273" s="533"/>
      <c r="AL273" s="533"/>
      <c r="AM273" s="533"/>
      <c r="AN273" s="533"/>
      <c r="AO273" s="533"/>
    </row>
    <row r="274" spans="1:41" ht="12.95" customHeight="1" x14ac:dyDescent="0.2">
      <c r="A274" s="533"/>
      <c r="B274" s="533"/>
      <c r="C274" s="533"/>
      <c r="D274" s="594"/>
      <c r="E274" s="629"/>
      <c r="F274" s="630"/>
      <c r="G274" s="630"/>
      <c r="H274" s="629"/>
      <c r="I274" s="533"/>
      <c r="J274" s="533"/>
      <c r="K274" s="533"/>
      <c r="L274" s="532"/>
      <c r="M274" s="631"/>
      <c r="N274" s="533"/>
      <c r="O274" s="533"/>
      <c r="P274" s="533"/>
      <c r="Q274" s="533"/>
      <c r="R274" s="533"/>
      <c r="S274" s="533"/>
      <c r="T274" s="533"/>
      <c r="U274" s="533"/>
      <c r="V274" s="533"/>
      <c r="W274" s="533"/>
      <c r="X274" s="533"/>
      <c r="Y274" s="533"/>
      <c r="Z274" s="533"/>
      <c r="AA274" s="533"/>
      <c r="AB274" s="533"/>
      <c r="AC274" s="533"/>
      <c r="AD274" s="533"/>
      <c r="AE274" s="533"/>
      <c r="AF274" s="533"/>
      <c r="AG274" s="533"/>
      <c r="AH274" s="533"/>
      <c r="AI274" s="533"/>
      <c r="AJ274" s="533"/>
      <c r="AK274" s="533"/>
      <c r="AL274" s="533"/>
      <c r="AM274" s="533"/>
      <c r="AN274" s="533"/>
      <c r="AO274" s="533"/>
    </row>
    <row r="275" spans="1:41" ht="12.95" customHeight="1" x14ac:dyDescent="0.2">
      <c r="A275" s="533"/>
      <c r="B275" s="533"/>
      <c r="C275" s="533"/>
      <c r="D275" s="594"/>
      <c r="E275" s="629"/>
      <c r="F275" s="630"/>
      <c r="G275" s="630"/>
      <c r="H275" s="629"/>
      <c r="I275" s="533"/>
      <c r="J275" s="533"/>
      <c r="K275" s="533"/>
      <c r="L275" s="532"/>
      <c r="M275" s="631"/>
      <c r="N275" s="533"/>
      <c r="O275" s="533"/>
      <c r="P275" s="533"/>
      <c r="Q275" s="533"/>
      <c r="R275" s="533"/>
      <c r="S275" s="533"/>
      <c r="T275" s="533"/>
      <c r="U275" s="533"/>
      <c r="V275" s="533"/>
      <c r="W275" s="533"/>
      <c r="X275" s="533"/>
      <c r="Y275" s="533"/>
      <c r="Z275" s="533"/>
      <c r="AA275" s="533"/>
      <c r="AB275" s="533"/>
      <c r="AC275" s="533"/>
      <c r="AD275" s="533"/>
      <c r="AE275" s="533"/>
      <c r="AF275" s="533"/>
      <c r="AG275" s="533"/>
      <c r="AH275" s="533"/>
      <c r="AI275" s="533"/>
      <c r="AJ275" s="533"/>
      <c r="AK275" s="533"/>
      <c r="AL275" s="533"/>
      <c r="AM275" s="533"/>
      <c r="AN275" s="533"/>
      <c r="AO275" s="533"/>
    </row>
    <row r="276" spans="1:41" ht="12.95" customHeight="1" x14ac:dyDescent="0.2">
      <c r="A276" s="533"/>
      <c r="B276" s="533"/>
      <c r="C276" s="533"/>
      <c r="D276" s="594"/>
      <c r="E276" s="629"/>
      <c r="F276" s="630"/>
      <c r="G276" s="630"/>
      <c r="H276" s="629"/>
      <c r="I276" s="533"/>
      <c r="J276" s="533"/>
      <c r="K276" s="533"/>
      <c r="L276" s="532"/>
      <c r="M276" s="631"/>
      <c r="N276" s="533"/>
      <c r="O276" s="533"/>
      <c r="P276" s="533"/>
      <c r="Q276" s="533"/>
      <c r="R276" s="533"/>
      <c r="S276" s="533"/>
      <c r="T276" s="533"/>
      <c r="U276" s="533"/>
      <c r="V276" s="533"/>
      <c r="W276" s="533"/>
      <c r="X276" s="533"/>
      <c r="Y276" s="533"/>
      <c r="Z276" s="533"/>
      <c r="AA276" s="533"/>
      <c r="AB276" s="533"/>
      <c r="AC276" s="533"/>
      <c r="AD276" s="533"/>
      <c r="AE276" s="533"/>
      <c r="AF276" s="533"/>
      <c r="AG276" s="533"/>
      <c r="AH276" s="533"/>
      <c r="AI276" s="533"/>
      <c r="AJ276" s="533"/>
      <c r="AK276" s="533"/>
      <c r="AL276" s="533"/>
      <c r="AM276" s="533"/>
      <c r="AN276" s="533"/>
      <c r="AO276" s="533"/>
    </row>
    <row r="277" spans="1:41" ht="12.95" customHeight="1" x14ac:dyDescent="0.2">
      <c r="A277" s="533"/>
      <c r="B277" s="533"/>
      <c r="C277" s="533"/>
      <c r="D277" s="594"/>
      <c r="E277" s="629"/>
      <c r="F277" s="630"/>
      <c r="G277" s="630"/>
      <c r="H277" s="629"/>
      <c r="I277" s="533"/>
      <c r="J277" s="533"/>
      <c r="K277" s="533"/>
      <c r="L277" s="532"/>
      <c r="M277" s="631"/>
      <c r="N277" s="533"/>
      <c r="O277" s="53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row>
    <row r="278" spans="1:41" ht="12.95" customHeight="1" x14ac:dyDescent="0.2">
      <c r="A278" s="533"/>
      <c r="B278" s="533"/>
      <c r="C278" s="533"/>
      <c r="D278" s="594"/>
      <c r="E278" s="629"/>
      <c r="F278" s="630"/>
      <c r="G278" s="630"/>
      <c r="H278" s="629"/>
      <c r="I278" s="533"/>
      <c r="J278" s="533"/>
      <c r="K278" s="533"/>
      <c r="L278" s="532"/>
      <c r="M278" s="631"/>
      <c r="N278" s="533"/>
      <c r="O278" s="53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row>
    <row r="279" spans="1:41" ht="12.95" customHeight="1" x14ac:dyDescent="0.2">
      <c r="A279" s="533"/>
      <c r="B279" s="533"/>
      <c r="C279" s="533"/>
      <c r="D279" s="594"/>
      <c r="E279" s="629"/>
      <c r="F279" s="630"/>
      <c r="G279" s="630"/>
      <c r="H279" s="629"/>
      <c r="I279" s="533"/>
      <c r="J279" s="533"/>
      <c r="K279" s="533"/>
      <c r="L279" s="532"/>
      <c r="M279" s="631"/>
      <c r="N279" s="533"/>
      <c r="O279" s="533"/>
      <c r="P279" s="533"/>
      <c r="Q279" s="533"/>
      <c r="R279" s="533"/>
      <c r="S279" s="533"/>
      <c r="T279" s="533"/>
      <c r="U279" s="533"/>
      <c r="V279" s="533"/>
      <c r="W279" s="533"/>
      <c r="X279" s="533"/>
      <c r="Y279" s="533"/>
      <c r="Z279" s="533"/>
      <c r="AA279" s="533"/>
      <c r="AB279" s="533"/>
      <c r="AC279" s="533"/>
      <c r="AD279" s="533"/>
      <c r="AE279" s="533"/>
      <c r="AF279" s="533"/>
      <c r="AG279" s="533"/>
      <c r="AH279" s="533"/>
      <c r="AI279" s="533"/>
      <c r="AJ279" s="533"/>
      <c r="AK279" s="533"/>
      <c r="AL279" s="533"/>
      <c r="AM279" s="533"/>
      <c r="AN279" s="533"/>
      <c r="AO279" s="533"/>
    </row>
    <row r="280" spans="1:41" ht="12.95" customHeight="1" x14ac:dyDescent="0.2">
      <c r="A280" s="533"/>
      <c r="B280" s="533"/>
      <c r="C280" s="533"/>
      <c r="D280" s="594"/>
      <c r="E280" s="629"/>
      <c r="F280" s="630"/>
      <c r="G280" s="630"/>
      <c r="H280" s="629"/>
      <c r="I280" s="533"/>
      <c r="J280" s="533"/>
      <c r="K280" s="533"/>
      <c r="L280" s="532"/>
      <c r="M280" s="631"/>
      <c r="N280" s="533"/>
      <c r="O280" s="533"/>
      <c r="P280" s="533"/>
      <c r="Q280" s="533"/>
      <c r="R280" s="533"/>
      <c r="S280" s="533"/>
      <c r="T280" s="533"/>
      <c r="U280" s="533"/>
      <c r="V280" s="533"/>
      <c r="W280" s="533"/>
      <c r="X280" s="533"/>
      <c r="Y280" s="533"/>
      <c r="Z280" s="533"/>
      <c r="AA280" s="533"/>
      <c r="AB280" s="533"/>
      <c r="AC280" s="533"/>
      <c r="AD280" s="533"/>
      <c r="AE280" s="533"/>
      <c r="AF280" s="533"/>
      <c r="AG280" s="533"/>
      <c r="AH280" s="533"/>
      <c r="AI280" s="533"/>
      <c r="AJ280" s="533"/>
      <c r="AK280" s="533"/>
      <c r="AL280" s="533"/>
      <c r="AM280" s="533"/>
      <c r="AN280" s="533"/>
      <c r="AO280" s="533"/>
    </row>
    <row r="281" spans="1:41" ht="12.95" customHeight="1" x14ac:dyDescent="0.2">
      <c r="A281" s="533"/>
      <c r="B281" s="533"/>
      <c r="C281" s="533"/>
      <c r="D281" s="594"/>
      <c r="E281" s="629"/>
      <c r="F281" s="630"/>
      <c r="G281" s="630"/>
      <c r="H281" s="629"/>
      <c r="I281" s="533"/>
      <c r="J281" s="533"/>
      <c r="K281" s="533"/>
      <c r="L281" s="532"/>
      <c r="M281" s="631"/>
      <c r="N281" s="533"/>
      <c r="O281" s="533"/>
      <c r="P281" s="533"/>
      <c r="Q281" s="533"/>
      <c r="R281" s="533"/>
      <c r="S281" s="533"/>
      <c r="T281" s="533"/>
      <c r="U281" s="533"/>
      <c r="V281" s="533"/>
      <c r="W281" s="533"/>
      <c r="X281" s="533"/>
      <c r="Y281" s="533"/>
      <c r="Z281" s="533"/>
      <c r="AA281" s="533"/>
      <c r="AB281" s="533"/>
      <c r="AC281" s="533"/>
      <c r="AD281" s="533"/>
      <c r="AE281" s="533"/>
      <c r="AF281" s="533"/>
      <c r="AG281" s="533"/>
      <c r="AH281" s="533"/>
      <c r="AI281" s="533"/>
      <c r="AJ281" s="533"/>
      <c r="AK281" s="533"/>
      <c r="AL281" s="533"/>
      <c r="AM281" s="533"/>
      <c r="AN281" s="533"/>
      <c r="AO281" s="533"/>
    </row>
    <row r="282" spans="1:41" ht="12.95" customHeight="1" x14ac:dyDescent="0.2">
      <c r="A282" s="533"/>
      <c r="B282" s="533"/>
      <c r="C282" s="533"/>
      <c r="D282" s="594"/>
      <c r="E282" s="629"/>
      <c r="F282" s="630"/>
      <c r="G282" s="630"/>
      <c r="H282" s="629"/>
      <c r="I282" s="533"/>
      <c r="J282" s="533"/>
      <c r="K282" s="533"/>
      <c r="L282" s="532"/>
      <c r="M282" s="631"/>
      <c r="N282" s="533"/>
      <c r="O282" s="533"/>
      <c r="P282" s="533"/>
      <c r="Q282" s="533"/>
      <c r="R282" s="533"/>
      <c r="S282" s="533"/>
      <c r="T282" s="533"/>
      <c r="U282" s="533"/>
      <c r="V282" s="533"/>
      <c r="W282" s="533"/>
      <c r="X282" s="533"/>
      <c r="Y282" s="533"/>
      <c r="Z282" s="533"/>
      <c r="AA282" s="533"/>
      <c r="AB282" s="533"/>
      <c r="AC282" s="533"/>
      <c r="AD282" s="533"/>
      <c r="AE282" s="533"/>
      <c r="AF282" s="533"/>
      <c r="AG282" s="533"/>
      <c r="AH282" s="533"/>
      <c r="AI282" s="533"/>
      <c r="AJ282" s="533"/>
      <c r="AK282" s="533"/>
      <c r="AL282" s="533"/>
      <c r="AM282" s="533"/>
      <c r="AN282" s="533"/>
      <c r="AO282" s="533"/>
    </row>
    <row r="283" spans="1:41" ht="12.95" customHeight="1" x14ac:dyDescent="0.2">
      <c r="A283" s="533"/>
      <c r="B283" s="533"/>
      <c r="C283" s="533"/>
      <c r="D283" s="594"/>
      <c r="E283" s="629"/>
      <c r="F283" s="630"/>
      <c r="G283" s="630"/>
      <c r="H283" s="629"/>
      <c r="I283" s="533"/>
      <c r="J283" s="533"/>
      <c r="K283" s="533"/>
      <c r="L283" s="532"/>
      <c r="M283" s="631"/>
      <c r="N283" s="533"/>
      <c r="O283" s="533"/>
      <c r="P283" s="533"/>
      <c r="Q283" s="533"/>
      <c r="R283" s="533"/>
      <c r="S283" s="533"/>
      <c r="T283" s="533"/>
      <c r="U283" s="533"/>
      <c r="V283" s="533"/>
      <c r="W283" s="533"/>
      <c r="X283" s="533"/>
      <c r="Y283" s="533"/>
      <c r="Z283" s="533"/>
      <c r="AA283" s="533"/>
      <c r="AB283" s="533"/>
      <c r="AC283" s="533"/>
      <c r="AD283" s="533"/>
      <c r="AE283" s="533"/>
      <c r="AF283" s="533"/>
      <c r="AG283" s="533"/>
      <c r="AH283" s="533"/>
      <c r="AI283" s="533"/>
      <c r="AJ283" s="533"/>
      <c r="AK283" s="533"/>
      <c r="AL283" s="533"/>
      <c r="AM283" s="533"/>
      <c r="AN283" s="533"/>
      <c r="AO283" s="533"/>
    </row>
    <row r="284" spans="1:41" ht="12.95" customHeight="1" x14ac:dyDescent="0.2">
      <c r="A284" s="533"/>
      <c r="B284" s="533"/>
      <c r="C284" s="533"/>
      <c r="D284" s="594"/>
      <c r="E284" s="629"/>
      <c r="F284" s="630"/>
      <c r="G284" s="630"/>
      <c r="H284" s="629"/>
      <c r="I284" s="533"/>
      <c r="J284" s="533"/>
      <c r="K284" s="533"/>
      <c r="L284" s="532"/>
      <c r="M284" s="631"/>
      <c r="N284" s="533"/>
      <c r="O284" s="53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row>
    <row r="285" spans="1:41" ht="12.95" customHeight="1" x14ac:dyDescent="0.2">
      <c r="A285" s="533"/>
      <c r="B285" s="533"/>
      <c r="C285" s="533"/>
      <c r="D285" s="594"/>
      <c r="E285" s="629"/>
      <c r="F285" s="630"/>
      <c r="G285" s="630"/>
      <c r="H285" s="629"/>
      <c r="I285" s="533"/>
      <c r="J285" s="533"/>
      <c r="K285" s="533"/>
      <c r="L285" s="532"/>
      <c r="M285" s="631"/>
      <c r="N285" s="533"/>
      <c r="O285" s="53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row>
    <row r="286" spans="1:41" ht="12.95" customHeight="1" x14ac:dyDescent="0.2">
      <c r="A286" s="533"/>
      <c r="B286" s="533"/>
      <c r="C286" s="533"/>
      <c r="D286" s="594"/>
      <c r="E286" s="629"/>
      <c r="F286" s="630"/>
      <c r="G286" s="630"/>
      <c r="H286" s="629"/>
      <c r="I286" s="533"/>
      <c r="J286" s="533"/>
      <c r="K286" s="533"/>
      <c r="L286" s="532"/>
      <c r="M286" s="631"/>
      <c r="N286" s="533"/>
      <c r="O286" s="533"/>
      <c r="P286" s="533"/>
      <c r="Q286" s="533"/>
      <c r="R286" s="533"/>
      <c r="S286" s="533"/>
      <c r="T286" s="533"/>
      <c r="U286" s="533"/>
      <c r="V286" s="533"/>
      <c r="W286" s="533"/>
      <c r="X286" s="533"/>
      <c r="Y286" s="533"/>
      <c r="Z286" s="533"/>
      <c r="AA286" s="533"/>
      <c r="AB286" s="533"/>
      <c r="AC286" s="533"/>
      <c r="AD286" s="533"/>
      <c r="AE286" s="533"/>
      <c r="AF286" s="533"/>
      <c r="AG286" s="533"/>
      <c r="AH286" s="533"/>
      <c r="AI286" s="533"/>
      <c r="AJ286" s="533"/>
      <c r="AK286" s="533"/>
      <c r="AL286" s="533"/>
      <c r="AM286" s="533"/>
      <c r="AN286" s="533"/>
      <c r="AO286" s="533"/>
    </row>
    <row r="287" spans="1:41" ht="12.95" customHeight="1" x14ac:dyDescent="0.2">
      <c r="A287" s="533"/>
      <c r="B287" s="533"/>
      <c r="C287" s="533"/>
      <c r="D287" s="594"/>
      <c r="E287" s="629"/>
      <c r="F287" s="630"/>
      <c r="G287" s="630"/>
      <c r="H287" s="629"/>
      <c r="I287" s="533"/>
      <c r="J287" s="533"/>
      <c r="K287" s="533"/>
      <c r="L287" s="532"/>
      <c r="M287" s="631"/>
      <c r="N287" s="533"/>
      <c r="O287" s="533"/>
      <c r="P287" s="533"/>
      <c r="Q287" s="533"/>
      <c r="R287" s="533"/>
      <c r="S287" s="533"/>
      <c r="T287" s="533"/>
      <c r="U287" s="533"/>
      <c r="V287" s="533"/>
      <c r="W287" s="533"/>
      <c r="X287" s="533"/>
      <c r="Y287" s="533"/>
      <c r="Z287" s="533"/>
      <c r="AA287" s="533"/>
      <c r="AB287" s="533"/>
      <c r="AC287" s="533"/>
      <c r="AD287" s="533"/>
      <c r="AE287" s="533"/>
      <c r="AF287" s="533"/>
      <c r="AG287" s="533"/>
      <c r="AH287" s="533"/>
      <c r="AI287" s="533"/>
      <c r="AJ287" s="533"/>
      <c r="AK287" s="533"/>
      <c r="AL287" s="533"/>
      <c r="AM287" s="533"/>
      <c r="AN287" s="533"/>
      <c r="AO287" s="533"/>
    </row>
    <row r="288" spans="1:41" ht="12.95" customHeight="1" x14ac:dyDescent="0.2">
      <c r="A288" s="533"/>
      <c r="B288" s="533"/>
      <c r="C288" s="533"/>
      <c r="D288" s="594"/>
      <c r="E288" s="629"/>
      <c r="F288" s="630"/>
      <c r="G288" s="630"/>
      <c r="H288" s="629"/>
      <c r="I288" s="533"/>
      <c r="J288" s="533"/>
      <c r="K288" s="533"/>
      <c r="L288" s="532"/>
      <c r="M288" s="631"/>
      <c r="N288" s="533"/>
      <c r="O288" s="533"/>
      <c r="P288" s="533"/>
      <c r="Q288" s="533"/>
      <c r="R288" s="533"/>
      <c r="S288" s="533"/>
      <c r="T288" s="533"/>
      <c r="U288" s="533"/>
      <c r="V288" s="533"/>
      <c r="W288" s="533"/>
      <c r="X288" s="533"/>
      <c r="Y288" s="533"/>
      <c r="Z288" s="533"/>
      <c r="AA288" s="533"/>
      <c r="AB288" s="533"/>
      <c r="AC288" s="533"/>
      <c r="AD288" s="533"/>
      <c r="AE288" s="533"/>
      <c r="AF288" s="533"/>
      <c r="AG288" s="533"/>
      <c r="AH288" s="533"/>
      <c r="AI288" s="533"/>
      <c r="AJ288" s="533"/>
      <c r="AK288" s="533"/>
      <c r="AL288" s="533"/>
      <c r="AM288" s="533"/>
      <c r="AN288" s="533"/>
      <c r="AO288" s="533"/>
    </row>
    <row r="289" spans="1:41" ht="12.95" customHeight="1" x14ac:dyDescent="0.2">
      <c r="A289" s="533"/>
      <c r="B289" s="533"/>
      <c r="C289" s="533"/>
      <c r="D289" s="594"/>
      <c r="E289" s="629"/>
      <c r="F289" s="630"/>
      <c r="G289" s="630"/>
      <c r="H289" s="629"/>
      <c r="I289" s="533"/>
      <c r="J289" s="533"/>
      <c r="K289" s="533"/>
      <c r="L289" s="532"/>
      <c r="M289" s="631"/>
      <c r="N289" s="533"/>
      <c r="O289" s="533"/>
      <c r="P289" s="533"/>
      <c r="Q289" s="533"/>
      <c r="R289" s="533"/>
      <c r="S289" s="533"/>
      <c r="T289" s="533"/>
      <c r="U289" s="533"/>
      <c r="V289" s="533"/>
      <c r="W289" s="533"/>
      <c r="X289" s="533"/>
      <c r="Y289" s="533"/>
      <c r="Z289" s="533"/>
      <c r="AA289" s="533"/>
      <c r="AB289" s="533"/>
      <c r="AC289" s="533"/>
      <c r="AD289" s="533"/>
      <c r="AE289" s="533"/>
      <c r="AF289" s="533"/>
      <c r="AG289" s="533"/>
      <c r="AH289" s="533"/>
      <c r="AI289" s="533"/>
      <c r="AJ289" s="533"/>
      <c r="AK289" s="533"/>
      <c r="AL289" s="533"/>
      <c r="AM289" s="533"/>
      <c r="AN289" s="533"/>
      <c r="AO289" s="533"/>
    </row>
    <row r="290" spans="1:41" ht="12.95" customHeight="1" x14ac:dyDescent="0.2">
      <c r="A290" s="533"/>
      <c r="B290" s="533"/>
      <c r="C290" s="533"/>
      <c r="D290" s="594"/>
      <c r="E290" s="629"/>
      <c r="F290" s="630"/>
      <c r="G290" s="630"/>
      <c r="H290" s="629"/>
      <c r="I290" s="533"/>
      <c r="J290" s="533"/>
      <c r="K290" s="533"/>
      <c r="L290" s="532"/>
      <c r="M290" s="631"/>
      <c r="N290" s="533"/>
      <c r="O290" s="53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row>
    <row r="291" spans="1:41" ht="12.95" customHeight="1" x14ac:dyDescent="0.2">
      <c r="A291" s="533"/>
      <c r="B291" s="533"/>
      <c r="C291" s="533"/>
      <c r="D291" s="594"/>
      <c r="E291" s="629"/>
      <c r="F291" s="630"/>
      <c r="G291" s="630"/>
      <c r="H291" s="629"/>
      <c r="I291" s="533"/>
      <c r="J291" s="533"/>
      <c r="K291" s="533"/>
      <c r="L291" s="532"/>
      <c r="M291" s="631"/>
      <c r="N291" s="533"/>
      <c r="O291" s="53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row>
    <row r="292" spans="1:41" ht="12.95" customHeight="1" x14ac:dyDescent="0.2">
      <c r="A292" s="533"/>
      <c r="B292" s="533"/>
      <c r="C292" s="533"/>
      <c r="D292" s="594"/>
      <c r="E292" s="629"/>
      <c r="F292" s="630"/>
      <c r="G292" s="630"/>
      <c r="H292" s="629"/>
      <c r="I292" s="533"/>
      <c r="J292" s="533"/>
      <c r="K292" s="533"/>
      <c r="L292" s="532"/>
      <c r="M292" s="631"/>
      <c r="N292" s="533"/>
      <c r="O292" s="53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row>
    <row r="293" spans="1:41" ht="12.95" customHeight="1" x14ac:dyDescent="0.2">
      <c r="A293" s="533"/>
      <c r="B293" s="533"/>
      <c r="C293" s="533"/>
      <c r="D293" s="594"/>
      <c r="E293" s="629"/>
      <c r="F293" s="630"/>
      <c r="G293" s="630"/>
      <c r="H293" s="629"/>
      <c r="I293" s="533"/>
      <c r="J293" s="533"/>
      <c r="K293" s="533"/>
      <c r="L293" s="532"/>
      <c r="M293" s="631"/>
      <c r="N293" s="533"/>
      <c r="O293" s="533"/>
      <c r="P293" s="533"/>
      <c r="Q293" s="533"/>
      <c r="R293" s="533"/>
      <c r="S293" s="533"/>
      <c r="T293" s="533"/>
      <c r="U293" s="533"/>
      <c r="V293" s="533"/>
      <c r="W293" s="533"/>
      <c r="X293" s="533"/>
      <c r="Y293" s="533"/>
      <c r="Z293" s="533"/>
      <c r="AA293" s="533"/>
      <c r="AB293" s="533"/>
      <c r="AC293" s="533"/>
      <c r="AD293" s="533"/>
      <c r="AE293" s="533"/>
      <c r="AF293" s="533"/>
      <c r="AG293" s="533"/>
      <c r="AH293" s="533"/>
      <c r="AI293" s="533"/>
      <c r="AJ293" s="533"/>
      <c r="AK293" s="533"/>
      <c r="AL293" s="533"/>
      <c r="AM293" s="533"/>
      <c r="AN293" s="533"/>
      <c r="AO293" s="533"/>
    </row>
    <row r="294" spans="1:41" ht="12.95" customHeight="1" x14ac:dyDescent="0.2">
      <c r="A294" s="533"/>
      <c r="B294" s="533"/>
      <c r="C294" s="533"/>
      <c r="D294" s="594"/>
      <c r="E294" s="629"/>
      <c r="F294" s="630"/>
      <c r="G294" s="630"/>
      <c r="H294" s="629"/>
      <c r="I294" s="533"/>
      <c r="J294" s="533"/>
      <c r="K294" s="533"/>
      <c r="L294" s="532"/>
      <c r="M294" s="631"/>
      <c r="N294" s="533"/>
      <c r="O294" s="533"/>
      <c r="P294" s="533"/>
      <c r="Q294" s="533"/>
      <c r="R294" s="533"/>
      <c r="S294" s="533"/>
      <c r="T294" s="533"/>
      <c r="U294" s="533"/>
      <c r="V294" s="533"/>
      <c r="W294" s="533"/>
      <c r="X294" s="533"/>
      <c r="Y294" s="533"/>
      <c r="Z294" s="533"/>
      <c r="AA294" s="533"/>
      <c r="AB294" s="533"/>
      <c r="AC294" s="533"/>
      <c r="AD294" s="533"/>
      <c r="AE294" s="533"/>
      <c r="AF294" s="533"/>
      <c r="AG294" s="533"/>
      <c r="AH294" s="533"/>
      <c r="AI294" s="533"/>
      <c r="AJ294" s="533"/>
      <c r="AK294" s="533"/>
      <c r="AL294" s="533"/>
      <c r="AM294" s="533"/>
      <c r="AN294" s="533"/>
      <c r="AO294" s="533"/>
    </row>
    <row r="295" spans="1:41" ht="12.95" customHeight="1" x14ac:dyDescent="0.2">
      <c r="A295" s="533"/>
      <c r="B295" s="533"/>
      <c r="C295" s="533"/>
      <c r="D295" s="594"/>
      <c r="E295" s="629"/>
      <c r="F295" s="630"/>
      <c r="G295" s="630"/>
      <c r="H295" s="629"/>
      <c r="I295" s="533"/>
      <c r="J295" s="533"/>
      <c r="K295" s="533"/>
      <c r="L295" s="532"/>
      <c r="M295" s="631"/>
      <c r="N295" s="533"/>
      <c r="O295" s="533"/>
      <c r="P295" s="533"/>
      <c r="Q295" s="533"/>
      <c r="R295" s="533"/>
      <c r="S295" s="533"/>
      <c r="T295" s="533"/>
      <c r="U295" s="533"/>
      <c r="V295" s="533"/>
      <c r="W295" s="533"/>
      <c r="X295" s="533"/>
      <c r="Y295" s="533"/>
      <c r="Z295" s="533"/>
      <c r="AA295" s="533"/>
      <c r="AB295" s="533"/>
      <c r="AC295" s="533"/>
      <c r="AD295" s="533"/>
      <c r="AE295" s="533"/>
      <c r="AF295" s="533"/>
      <c r="AG295" s="533"/>
      <c r="AH295" s="533"/>
      <c r="AI295" s="533"/>
      <c r="AJ295" s="533"/>
      <c r="AK295" s="533"/>
      <c r="AL295" s="533"/>
      <c r="AM295" s="533"/>
      <c r="AN295" s="533"/>
      <c r="AO295" s="533"/>
    </row>
    <row r="296" spans="1:41" ht="12.95" customHeight="1" x14ac:dyDescent="0.2">
      <c r="A296" s="533"/>
      <c r="B296" s="533"/>
      <c r="C296" s="533"/>
      <c r="D296" s="594"/>
      <c r="E296" s="629"/>
      <c r="F296" s="630"/>
      <c r="G296" s="630"/>
      <c r="H296" s="629"/>
      <c r="I296" s="533"/>
      <c r="J296" s="533"/>
      <c r="K296" s="533"/>
      <c r="L296" s="532"/>
      <c r="M296" s="631"/>
      <c r="N296" s="533"/>
      <c r="O296" s="533"/>
      <c r="P296" s="533"/>
      <c r="Q296" s="533"/>
      <c r="R296" s="533"/>
      <c r="S296" s="533"/>
      <c r="T296" s="533"/>
      <c r="U296" s="533"/>
      <c r="V296" s="533"/>
      <c r="W296" s="533"/>
      <c r="X296" s="533"/>
      <c r="Y296" s="533"/>
      <c r="Z296" s="533"/>
      <c r="AA296" s="533"/>
      <c r="AB296" s="533"/>
      <c r="AC296" s="533"/>
      <c r="AD296" s="533"/>
      <c r="AE296" s="533"/>
      <c r="AF296" s="533"/>
      <c r="AG296" s="533"/>
      <c r="AH296" s="533"/>
      <c r="AI296" s="533"/>
      <c r="AJ296" s="533"/>
      <c r="AK296" s="533"/>
      <c r="AL296" s="533"/>
      <c r="AM296" s="533"/>
      <c r="AN296" s="533"/>
      <c r="AO296" s="533"/>
    </row>
    <row r="297" spans="1:41" ht="12.95" customHeight="1" x14ac:dyDescent="0.2">
      <c r="A297" s="533"/>
      <c r="B297" s="533"/>
      <c r="C297" s="533"/>
      <c r="D297" s="594"/>
      <c r="E297" s="629"/>
      <c r="F297" s="630"/>
      <c r="G297" s="630"/>
      <c r="H297" s="629"/>
      <c r="I297" s="533"/>
      <c r="J297" s="533"/>
      <c r="K297" s="533"/>
      <c r="L297" s="532"/>
      <c r="M297" s="631"/>
      <c r="N297" s="533"/>
      <c r="O297" s="53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row>
    <row r="298" spans="1:41" ht="12.95" customHeight="1" x14ac:dyDescent="0.2">
      <c r="A298" s="533"/>
      <c r="B298" s="533"/>
      <c r="C298" s="533"/>
      <c r="D298" s="594"/>
      <c r="E298" s="629"/>
      <c r="F298" s="630"/>
      <c r="G298" s="630"/>
      <c r="H298" s="629"/>
      <c r="I298" s="533"/>
      <c r="J298" s="533"/>
      <c r="K298" s="533"/>
      <c r="L298" s="532"/>
      <c r="M298" s="631"/>
      <c r="N298" s="533"/>
      <c r="O298" s="53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row>
    <row r="299" spans="1:41" ht="12.95" customHeight="1" x14ac:dyDescent="0.2">
      <c r="A299" s="533"/>
      <c r="B299" s="533"/>
      <c r="C299" s="533"/>
      <c r="D299" s="594"/>
      <c r="E299" s="629"/>
      <c r="F299" s="630"/>
      <c r="G299" s="630"/>
      <c r="H299" s="629"/>
      <c r="I299" s="533"/>
      <c r="J299" s="533"/>
      <c r="K299" s="533"/>
      <c r="L299" s="532"/>
      <c r="M299" s="631"/>
      <c r="N299" s="533"/>
      <c r="O299" s="53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row>
    <row r="300" spans="1:41" ht="12.95" customHeight="1" x14ac:dyDescent="0.2">
      <c r="A300" s="533"/>
      <c r="B300" s="533"/>
      <c r="C300" s="533"/>
      <c r="D300" s="594"/>
      <c r="E300" s="629"/>
      <c r="F300" s="630"/>
      <c r="G300" s="630"/>
      <c r="H300" s="629"/>
      <c r="I300" s="533"/>
      <c r="J300" s="533"/>
      <c r="K300" s="533"/>
      <c r="L300" s="532"/>
      <c r="M300" s="631"/>
      <c r="N300" s="533"/>
      <c r="O300" s="533"/>
      <c r="P300" s="533"/>
      <c r="Q300" s="533"/>
      <c r="R300" s="533"/>
      <c r="S300" s="533"/>
      <c r="T300" s="533"/>
      <c r="U300" s="533"/>
      <c r="V300" s="533"/>
      <c r="W300" s="533"/>
      <c r="X300" s="533"/>
      <c r="Y300" s="533"/>
      <c r="Z300" s="533"/>
      <c r="AA300" s="533"/>
      <c r="AB300" s="533"/>
      <c r="AC300" s="533"/>
      <c r="AD300" s="533"/>
      <c r="AE300" s="533"/>
      <c r="AF300" s="533"/>
      <c r="AG300" s="533"/>
      <c r="AH300" s="533"/>
      <c r="AI300" s="533"/>
      <c r="AJ300" s="533"/>
      <c r="AK300" s="533"/>
      <c r="AL300" s="533"/>
      <c r="AM300" s="533"/>
      <c r="AN300" s="533"/>
      <c r="AO300" s="533"/>
    </row>
    <row r="301" spans="1:41" ht="12.95" customHeight="1" x14ac:dyDescent="0.2">
      <c r="A301" s="533"/>
      <c r="B301" s="533"/>
      <c r="C301" s="533"/>
      <c r="D301" s="594"/>
      <c r="E301" s="629"/>
      <c r="F301" s="630"/>
      <c r="G301" s="630"/>
      <c r="H301" s="629"/>
      <c r="I301" s="533"/>
      <c r="J301" s="533"/>
      <c r="K301" s="533"/>
      <c r="L301" s="532"/>
      <c r="M301" s="631"/>
      <c r="N301" s="533"/>
      <c r="O301" s="533"/>
      <c r="P301" s="533"/>
      <c r="Q301" s="533"/>
      <c r="R301" s="533"/>
      <c r="S301" s="533"/>
      <c r="T301" s="533"/>
      <c r="U301" s="533"/>
      <c r="V301" s="533"/>
      <c r="W301" s="533"/>
      <c r="X301" s="533"/>
      <c r="Y301" s="533"/>
      <c r="Z301" s="533"/>
      <c r="AA301" s="533"/>
      <c r="AB301" s="533"/>
      <c r="AC301" s="533"/>
      <c r="AD301" s="533"/>
      <c r="AE301" s="533"/>
      <c r="AF301" s="533"/>
      <c r="AG301" s="533"/>
      <c r="AH301" s="533"/>
      <c r="AI301" s="533"/>
      <c r="AJ301" s="533"/>
      <c r="AK301" s="533"/>
      <c r="AL301" s="533"/>
      <c r="AM301" s="533"/>
      <c r="AN301" s="533"/>
      <c r="AO301" s="533"/>
    </row>
    <row r="302" spans="1:41" ht="12.95" customHeight="1" x14ac:dyDescent="0.2">
      <c r="A302" s="533"/>
      <c r="B302" s="533"/>
      <c r="C302" s="533"/>
      <c r="D302" s="594"/>
      <c r="E302" s="629"/>
      <c r="F302" s="630"/>
      <c r="G302" s="630"/>
      <c r="H302" s="629"/>
      <c r="I302" s="533"/>
      <c r="J302" s="533"/>
      <c r="K302" s="533"/>
      <c r="L302" s="532"/>
      <c r="M302" s="631"/>
      <c r="N302" s="533"/>
      <c r="O302" s="533"/>
      <c r="P302" s="533"/>
      <c r="Q302" s="533"/>
      <c r="R302" s="533"/>
      <c r="S302" s="533"/>
      <c r="T302" s="533"/>
      <c r="U302" s="533"/>
      <c r="V302" s="533"/>
      <c r="W302" s="533"/>
      <c r="X302" s="533"/>
      <c r="Y302" s="533"/>
      <c r="Z302" s="533"/>
      <c r="AA302" s="533"/>
      <c r="AB302" s="533"/>
      <c r="AC302" s="533"/>
      <c r="AD302" s="533"/>
      <c r="AE302" s="533"/>
      <c r="AF302" s="533"/>
      <c r="AG302" s="533"/>
      <c r="AH302" s="533"/>
      <c r="AI302" s="533"/>
      <c r="AJ302" s="533"/>
      <c r="AK302" s="533"/>
      <c r="AL302" s="533"/>
      <c r="AM302" s="533"/>
      <c r="AN302" s="533"/>
      <c r="AO302" s="533"/>
    </row>
    <row r="303" spans="1:41" ht="12.95" customHeight="1" x14ac:dyDescent="0.2">
      <c r="A303" s="533"/>
      <c r="B303" s="533"/>
      <c r="C303" s="533"/>
      <c r="D303" s="594"/>
      <c r="E303" s="629"/>
      <c r="F303" s="630"/>
      <c r="G303" s="630"/>
      <c r="H303" s="629"/>
      <c r="I303" s="533"/>
      <c r="J303" s="533"/>
      <c r="K303" s="533"/>
      <c r="L303" s="532"/>
      <c r="M303" s="631"/>
      <c r="N303" s="533"/>
      <c r="O303" s="533"/>
      <c r="P303" s="533"/>
      <c r="Q303" s="533"/>
      <c r="R303" s="533"/>
      <c r="S303" s="533"/>
      <c r="T303" s="533"/>
      <c r="U303" s="533"/>
      <c r="V303" s="533"/>
      <c r="W303" s="533"/>
      <c r="X303" s="533"/>
      <c r="Y303" s="533"/>
      <c r="Z303" s="533"/>
      <c r="AA303" s="533"/>
      <c r="AB303" s="533"/>
      <c r="AC303" s="533"/>
      <c r="AD303" s="533"/>
      <c r="AE303" s="533"/>
      <c r="AF303" s="533"/>
      <c r="AG303" s="533"/>
      <c r="AH303" s="533"/>
      <c r="AI303" s="533"/>
      <c r="AJ303" s="533"/>
      <c r="AK303" s="533"/>
      <c r="AL303" s="533"/>
      <c r="AM303" s="533"/>
      <c r="AN303" s="533"/>
      <c r="AO303" s="533"/>
    </row>
    <row r="304" spans="1:41" ht="12.95" customHeight="1" x14ac:dyDescent="0.2">
      <c r="A304" s="533"/>
      <c r="B304" s="533"/>
      <c r="C304" s="533"/>
      <c r="D304" s="594"/>
      <c r="E304" s="629"/>
      <c r="F304" s="630"/>
      <c r="G304" s="630"/>
      <c r="H304" s="629"/>
      <c r="I304" s="533"/>
      <c r="J304" s="533"/>
      <c r="K304" s="533"/>
      <c r="L304" s="532"/>
      <c r="M304" s="631"/>
      <c r="N304" s="533"/>
      <c r="O304" s="53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row>
    <row r="305" spans="1:41" ht="12.95" customHeight="1" x14ac:dyDescent="0.2">
      <c r="A305" s="533"/>
      <c r="B305" s="533"/>
      <c r="C305" s="533"/>
      <c r="D305" s="594"/>
      <c r="E305" s="629"/>
      <c r="F305" s="630"/>
      <c r="G305" s="630"/>
      <c r="H305" s="629"/>
      <c r="I305" s="533"/>
      <c r="J305" s="533"/>
      <c r="K305" s="533"/>
      <c r="L305" s="532"/>
      <c r="M305" s="631"/>
      <c r="N305" s="533"/>
      <c r="O305" s="53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row>
    <row r="306" spans="1:41" ht="12.95" customHeight="1" x14ac:dyDescent="0.2">
      <c r="A306" s="533"/>
      <c r="B306" s="533"/>
      <c r="C306" s="533"/>
      <c r="D306" s="594"/>
      <c r="E306" s="629"/>
      <c r="F306" s="630"/>
      <c r="G306" s="630"/>
      <c r="H306" s="629"/>
      <c r="I306" s="533"/>
      <c r="J306" s="533"/>
      <c r="K306" s="533"/>
      <c r="L306" s="532"/>
      <c r="M306" s="631"/>
      <c r="N306" s="533"/>
      <c r="O306" s="53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row>
    <row r="307" spans="1:41" ht="12.95" customHeight="1" x14ac:dyDescent="0.2">
      <c r="A307" s="533"/>
      <c r="B307" s="533"/>
      <c r="C307" s="533"/>
      <c r="D307" s="594"/>
      <c r="E307" s="629"/>
      <c r="F307" s="630"/>
      <c r="G307" s="630"/>
      <c r="H307" s="629"/>
      <c r="I307" s="533"/>
      <c r="J307" s="533"/>
      <c r="K307" s="533"/>
      <c r="L307" s="532"/>
      <c r="M307" s="631"/>
      <c r="N307" s="533"/>
      <c r="O307" s="53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row>
    <row r="308" spans="1:41" ht="12.95" customHeight="1" x14ac:dyDescent="0.2">
      <c r="A308" s="533"/>
      <c r="B308" s="533"/>
      <c r="C308" s="533"/>
      <c r="D308" s="594"/>
      <c r="E308" s="629"/>
      <c r="F308" s="630"/>
      <c r="G308" s="630"/>
      <c r="H308" s="629"/>
      <c r="I308" s="533"/>
      <c r="J308" s="533"/>
      <c r="K308" s="533"/>
      <c r="L308" s="532"/>
      <c r="M308" s="631"/>
      <c r="N308" s="533"/>
      <c r="O308" s="533"/>
      <c r="P308" s="533"/>
      <c r="Q308" s="533"/>
      <c r="R308" s="533"/>
      <c r="S308" s="533"/>
      <c r="T308" s="533"/>
      <c r="U308" s="533"/>
      <c r="V308" s="533"/>
      <c r="W308" s="533"/>
      <c r="X308" s="533"/>
      <c r="Y308" s="533"/>
      <c r="Z308" s="533"/>
      <c r="AA308" s="533"/>
      <c r="AB308" s="533"/>
      <c r="AC308" s="533"/>
      <c r="AD308" s="533"/>
      <c r="AE308" s="533"/>
      <c r="AF308" s="533"/>
      <c r="AG308" s="533"/>
      <c r="AH308" s="533"/>
      <c r="AI308" s="533"/>
      <c r="AJ308" s="533"/>
      <c r="AK308" s="533"/>
      <c r="AL308" s="533"/>
      <c r="AM308" s="533"/>
      <c r="AN308" s="533"/>
      <c r="AO308" s="533"/>
    </row>
    <row r="309" spans="1:41" ht="12.95" customHeight="1" x14ac:dyDescent="0.2">
      <c r="A309" s="533"/>
      <c r="B309" s="533"/>
      <c r="C309" s="533"/>
      <c r="D309" s="594"/>
      <c r="E309" s="629"/>
      <c r="F309" s="630"/>
      <c r="G309" s="630"/>
      <c r="H309" s="629"/>
      <c r="I309" s="533"/>
      <c r="J309" s="533"/>
      <c r="K309" s="533"/>
      <c r="L309" s="532"/>
      <c r="M309" s="631"/>
      <c r="N309" s="533"/>
      <c r="O309" s="533"/>
      <c r="P309" s="533"/>
      <c r="Q309" s="533"/>
      <c r="R309" s="533"/>
      <c r="S309" s="533"/>
      <c r="T309" s="533"/>
      <c r="U309" s="533"/>
      <c r="V309" s="533"/>
      <c r="W309" s="533"/>
      <c r="X309" s="533"/>
      <c r="Y309" s="533"/>
      <c r="Z309" s="533"/>
      <c r="AA309" s="533"/>
      <c r="AB309" s="533"/>
      <c r="AC309" s="533"/>
      <c r="AD309" s="533"/>
      <c r="AE309" s="533"/>
      <c r="AF309" s="533"/>
      <c r="AG309" s="533"/>
      <c r="AH309" s="533"/>
      <c r="AI309" s="533"/>
      <c r="AJ309" s="533"/>
      <c r="AK309" s="533"/>
      <c r="AL309" s="533"/>
      <c r="AM309" s="533"/>
      <c r="AN309" s="533"/>
      <c r="AO309" s="533"/>
    </row>
    <row r="310" spans="1:41" ht="12.95" customHeight="1" x14ac:dyDescent="0.2">
      <c r="A310" s="533"/>
      <c r="B310" s="533"/>
      <c r="C310" s="533"/>
      <c r="D310" s="594"/>
      <c r="E310" s="629"/>
      <c r="F310" s="630"/>
      <c r="G310" s="630"/>
      <c r="H310" s="629"/>
      <c r="I310" s="533"/>
      <c r="J310" s="533"/>
      <c r="K310" s="533"/>
      <c r="L310" s="532"/>
      <c r="M310" s="631"/>
      <c r="N310" s="533"/>
      <c r="O310" s="533"/>
      <c r="P310" s="533"/>
      <c r="Q310" s="533"/>
      <c r="R310" s="533"/>
      <c r="S310" s="533"/>
      <c r="T310" s="533"/>
      <c r="U310" s="533"/>
      <c r="V310" s="533"/>
      <c r="W310" s="533"/>
      <c r="X310" s="533"/>
      <c r="Y310" s="533"/>
      <c r="Z310" s="533"/>
      <c r="AA310" s="533"/>
      <c r="AB310" s="533"/>
      <c r="AC310" s="533"/>
      <c r="AD310" s="533"/>
      <c r="AE310" s="533"/>
      <c r="AF310" s="533"/>
      <c r="AG310" s="533"/>
      <c r="AH310" s="533"/>
      <c r="AI310" s="533"/>
      <c r="AJ310" s="533"/>
      <c r="AK310" s="533"/>
      <c r="AL310" s="533"/>
      <c r="AM310" s="533"/>
      <c r="AN310" s="533"/>
      <c r="AO310" s="533"/>
    </row>
    <row r="311" spans="1:41" ht="12.95" customHeight="1" x14ac:dyDescent="0.2">
      <c r="A311" s="533"/>
      <c r="B311" s="533"/>
      <c r="C311" s="533"/>
      <c r="D311" s="594"/>
      <c r="E311" s="629"/>
      <c r="F311" s="630"/>
      <c r="G311" s="630"/>
      <c r="H311" s="629"/>
      <c r="I311" s="533"/>
      <c r="J311" s="533"/>
      <c r="K311" s="533"/>
      <c r="L311" s="532"/>
      <c r="M311" s="631"/>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row>
    <row r="312" spans="1:41" ht="12.95" customHeight="1" x14ac:dyDescent="0.2">
      <c r="A312" s="533"/>
      <c r="B312" s="533"/>
      <c r="C312" s="533"/>
      <c r="D312" s="594"/>
      <c r="E312" s="629"/>
      <c r="F312" s="630"/>
      <c r="G312" s="630"/>
      <c r="H312" s="629"/>
      <c r="I312" s="533"/>
      <c r="J312" s="533"/>
      <c r="K312" s="533"/>
      <c r="L312" s="532"/>
      <c r="M312" s="631"/>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row>
    <row r="313" spans="1:41" ht="12.95" customHeight="1" x14ac:dyDescent="0.2">
      <c r="A313" s="533"/>
      <c r="B313" s="533"/>
      <c r="C313" s="533"/>
      <c r="D313" s="594"/>
      <c r="E313" s="629"/>
      <c r="F313" s="630"/>
      <c r="G313" s="630"/>
      <c r="H313" s="629"/>
      <c r="I313" s="533"/>
      <c r="J313" s="533"/>
      <c r="K313" s="533"/>
      <c r="L313" s="532"/>
      <c r="M313" s="631"/>
      <c r="N313" s="533"/>
      <c r="O313" s="53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row>
    <row r="314" spans="1:41" ht="12.95" customHeight="1" x14ac:dyDescent="0.2">
      <c r="A314" s="533"/>
      <c r="B314" s="533"/>
      <c r="C314" s="533"/>
      <c r="D314" s="594"/>
      <c r="E314" s="629"/>
      <c r="F314" s="630"/>
      <c r="G314" s="630"/>
      <c r="H314" s="629"/>
      <c r="I314" s="533"/>
      <c r="J314" s="533"/>
      <c r="K314" s="533"/>
      <c r="L314" s="532"/>
      <c r="M314" s="631"/>
      <c r="N314" s="533"/>
      <c r="O314" s="533"/>
      <c r="P314" s="533"/>
      <c r="Q314" s="533"/>
      <c r="R314" s="533"/>
      <c r="S314" s="533"/>
      <c r="T314" s="533"/>
      <c r="U314" s="533"/>
      <c r="V314" s="533"/>
      <c r="W314" s="533"/>
      <c r="X314" s="533"/>
      <c r="Y314" s="533"/>
      <c r="Z314" s="533"/>
      <c r="AA314" s="533"/>
      <c r="AB314" s="533"/>
      <c r="AC314" s="533"/>
      <c r="AD314" s="533"/>
      <c r="AE314" s="533"/>
      <c r="AF314" s="533"/>
      <c r="AG314" s="533"/>
      <c r="AH314" s="533"/>
      <c r="AI314" s="533"/>
      <c r="AJ314" s="533"/>
      <c r="AK314" s="533"/>
      <c r="AL314" s="533"/>
      <c r="AM314" s="533"/>
      <c r="AN314" s="533"/>
      <c r="AO314" s="533"/>
    </row>
    <row r="315" spans="1:41" ht="12.95" customHeight="1" x14ac:dyDescent="0.2">
      <c r="A315" s="533"/>
      <c r="B315" s="533"/>
      <c r="C315" s="533"/>
      <c r="D315" s="594"/>
      <c r="E315" s="629"/>
      <c r="F315" s="630"/>
      <c r="G315" s="630"/>
      <c r="H315" s="629"/>
      <c r="I315" s="533"/>
      <c r="J315" s="533"/>
      <c r="K315" s="533"/>
      <c r="L315" s="532"/>
      <c r="M315" s="631"/>
      <c r="N315" s="533"/>
      <c r="O315" s="533"/>
      <c r="P315" s="533"/>
      <c r="Q315" s="533"/>
      <c r="R315" s="533"/>
      <c r="S315" s="533"/>
      <c r="T315" s="533"/>
      <c r="U315" s="533"/>
      <c r="V315" s="533"/>
      <c r="W315" s="533"/>
      <c r="X315" s="533"/>
      <c r="Y315" s="533"/>
      <c r="Z315" s="533"/>
      <c r="AA315" s="533"/>
      <c r="AB315" s="533"/>
      <c r="AC315" s="533"/>
      <c r="AD315" s="533"/>
      <c r="AE315" s="533"/>
      <c r="AF315" s="533"/>
      <c r="AG315" s="533"/>
      <c r="AH315" s="533"/>
      <c r="AI315" s="533"/>
      <c r="AJ315" s="533"/>
      <c r="AK315" s="533"/>
      <c r="AL315" s="533"/>
      <c r="AM315" s="533"/>
      <c r="AN315" s="533"/>
      <c r="AO315" s="533"/>
    </row>
    <row r="316" spans="1:41" ht="12.95" customHeight="1" x14ac:dyDescent="0.2">
      <c r="A316" s="533"/>
      <c r="B316" s="533"/>
      <c r="C316" s="533"/>
      <c r="D316" s="594"/>
      <c r="E316" s="629"/>
      <c r="F316" s="630"/>
      <c r="G316" s="630"/>
      <c r="H316" s="629"/>
      <c r="I316" s="533"/>
      <c r="J316" s="533"/>
      <c r="K316" s="533"/>
      <c r="L316" s="532"/>
      <c r="M316" s="631"/>
      <c r="N316" s="533"/>
      <c r="O316" s="533"/>
      <c r="P316" s="533"/>
      <c r="Q316" s="533"/>
      <c r="R316" s="533"/>
      <c r="S316" s="533"/>
      <c r="T316" s="533"/>
      <c r="U316" s="533"/>
      <c r="V316" s="533"/>
      <c r="W316" s="533"/>
      <c r="X316" s="533"/>
      <c r="Y316" s="533"/>
      <c r="Z316" s="533"/>
      <c r="AA316" s="533"/>
      <c r="AB316" s="533"/>
      <c r="AC316" s="533"/>
      <c r="AD316" s="533"/>
      <c r="AE316" s="533"/>
      <c r="AF316" s="533"/>
      <c r="AG316" s="533"/>
      <c r="AH316" s="533"/>
      <c r="AI316" s="533"/>
      <c r="AJ316" s="533"/>
      <c r="AK316" s="533"/>
      <c r="AL316" s="533"/>
      <c r="AM316" s="533"/>
      <c r="AN316" s="533"/>
      <c r="AO316" s="533"/>
    </row>
    <row r="317" spans="1:41" ht="12.95" customHeight="1" x14ac:dyDescent="0.2">
      <c r="A317" s="533"/>
      <c r="B317" s="533"/>
      <c r="C317" s="533"/>
      <c r="D317" s="594"/>
      <c r="E317" s="629"/>
      <c r="F317" s="630"/>
      <c r="G317" s="630"/>
      <c r="H317" s="629"/>
      <c r="I317" s="533"/>
      <c r="J317" s="533"/>
      <c r="K317" s="533"/>
      <c r="L317" s="532"/>
      <c r="M317" s="631"/>
      <c r="N317" s="533"/>
      <c r="O317" s="533"/>
      <c r="P317" s="533"/>
      <c r="Q317" s="533"/>
      <c r="R317" s="533"/>
      <c r="S317" s="533"/>
      <c r="T317" s="533"/>
      <c r="U317" s="533"/>
      <c r="V317" s="533"/>
      <c r="W317" s="533"/>
      <c r="X317" s="533"/>
      <c r="Y317" s="533"/>
      <c r="Z317" s="533"/>
      <c r="AA317" s="533"/>
      <c r="AB317" s="533"/>
      <c r="AC317" s="533"/>
      <c r="AD317" s="533"/>
      <c r="AE317" s="533"/>
      <c r="AF317" s="533"/>
      <c r="AG317" s="533"/>
      <c r="AH317" s="533"/>
      <c r="AI317" s="533"/>
      <c r="AJ317" s="533"/>
      <c r="AK317" s="533"/>
      <c r="AL317" s="533"/>
      <c r="AM317" s="533"/>
      <c r="AN317" s="533"/>
      <c r="AO317" s="533"/>
    </row>
    <row r="318" spans="1:41" ht="12.95" customHeight="1" x14ac:dyDescent="0.2">
      <c r="A318" s="533"/>
      <c r="B318" s="533"/>
      <c r="C318" s="533"/>
      <c r="D318" s="594"/>
      <c r="E318" s="629"/>
      <c r="F318" s="630"/>
      <c r="G318" s="630"/>
      <c r="H318" s="629"/>
      <c r="I318" s="533"/>
      <c r="J318" s="533"/>
      <c r="K318" s="533"/>
      <c r="L318" s="532"/>
      <c r="M318" s="631"/>
      <c r="N318" s="533"/>
      <c r="O318" s="533"/>
      <c r="P318" s="533"/>
      <c r="Q318" s="533"/>
      <c r="R318" s="533"/>
      <c r="S318" s="533"/>
      <c r="T318" s="533"/>
      <c r="U318" s="533"/>
      <c r="V318" s="533"/>
      <c r="W318" s="533"/>
      <c r="X318" s="533"/>
      <c r="Y318" s="533"/>
      <c r="Z318" s="533"/>
      <c r="AA318" s="533"/>
      <c r="AB318" s="533"/>
      <c r="AC318" s="533"/>
      <c r="AD318" s="533"/>
      <c r="AE318" s="533"/>
      <c r="AF318" s="533"/>
      <c r="AG318" s="533"/>
      <c r="AH318" s="533"/>
      <c r="AI318" s="533"/>
      <c r="AJ318" s="533"/>
      <c r="AK318" s="533"/>
      <c r="AL318" s="533"/>
      <c r="AM318" s="533"/>
      <c r="AN318" s="533"/>
      <c r="AO318" s="533"/>
    </row>
    <row r="319" spans="1:41" ht="12.95" customHeight="1" x14ac:dyDescent="0.2">
      <c r="A319" s="533"/>
      <c r="B319" s="533"/>
      <c r="C319" s="533"/>
      <c r="D319" s="594"/>
      <c r="E319" s="629"/>
      <c r="F319" s="630"/>
      <c r="G319" s="630"/>
      <c r="H319" s="629"/>
      <c r="I319" s="533"/>
      <c r="J319" s="533"/>
      <c r="K319" s="533"/>
      <c r="L319" s="532"/>
      <c r="M319" s="631"/>
      <c r="N319" s="533"/>
      <c r="O319" s="533"/>
      <c r="P319" s="533"/>
      <c r="Q319" s="533"/>
      <c r="R319" s="533"/>
      <c r="S319" s="533"/>
      <c r="T319" s="533"/>
      <c r="U319" s="533"/>
      <c r="V319" s="533"/>
      <c r="W319" s="533"/>
      <c r="X319" s="533"/>
      <c r="Y319" s="533"/>
      <c r="Z319" s="533"/>
      <c r="AA319" s="533"/>
      <c r="AB319" s="533"/>
      <c r="AC319" s="533"/>
      <c r="AD319" s="533"/>
      <c r="AE319" s="533"/>
      <c r="AF319" s="533"/>
      <c r="AG319" s="533"/>
      <c r="AH319" s="533"/>
      <c r="AI319" s="533"/>
      <c r="AJ319" s="533"/>
      <c r="AK319" s="533"/>
      <c r="AL319" s="533"/>
      <c r="AM319" s="533"/>
      <c r="AN319" s="533"/>
      <c r="AO319" s="533"/>
    </row>
    <row r="320" spans="1:41" ht="12.95" customHeight="1" x14ac:dyDescent="0.2">
      <c r="A320" s="533"/>
      <c r="B320" s="533"/>
      <c r="C320" s="533"/>
      <c r="D320" s="594"/>
      <c r="E320" s="629"/>
      <c r="F320" s="630"/>
      <c r="G320" s="630"/>
      <c r="H320" s="629"/>
      <c r="I320" s="533"/>
      <c r="J320" s="533"/>
      <c r="K320" s="533"/>
      <c r="L320" s="532"/>
      <c r="M320" s="631"/>
      <c r="N320" s="533"/>
      <c r="O320" s="533"/>
      <c r="P320" s="533"/>
      <c r="Q320" s="533"/>
      <c r="R320" s="533"/>
      <c r="S320" s="533"/>
      <c r="T320" s="533"/>
      <c r="U320" s="533"/>
      <c r="V320" s="533"/>
      <c r="W320" s="533"/>
      <c r="X320" s="533"/>
      <c r="Y320" s="533"/>
      <c r="Z320" s="533"/>
      <c r="AA320" s="533"/>
      <c r="AB320" s="533"/>
      <c r="AC320" s="533"/>
      <c r="AD320" s="533"/>
      <c r="AE320" s="533"/>
      <c r="AF320" s="533"/>
      <c r="AG320" s="533"/>
      <c r="AH320" s="533"/>
      <c r="AI320" s="533"/>
      <c r="AJ320" s="533"/>
      <c r="AK320" s="533"/>
      <c r="AL320" s="533"/>
      <c r="AM320" s="533"/>
      <c r="AN320" s="533"/>
      <c r="AO320" s="533"/>
    </row>
    <row r="321" spans="1:41" ht="12.95" customHeight="1" x14ac:dyDescent="0.2">
      <c r="A321" s="533"/>
      <c r="B321" s="533"/>
      <c r="C321" s="533"/>
      <c r="D321" s="594"/>
      <c r="E321" s="629"/>
      <c r="F321" s="630"/>
      <c r="G321" s="630"/>
      <c r="H321" s="629"/>
      <c r="I321" s="533"/>
      <c r="J321" s="533"/>
      <c r="K321" s="533"/>
      <c r="L321" s="532"/>
      <c r="M321" s="631"/>
      <c r="N321" s="533"/>
      <c r="O321" s="533"/>
      <c r="P321" s="533"/>
      <c r="Q321" s="533"/>
      <c r="R321" s="533"/>
      <c r="S321" s="533"/>
      <c r="T321" s="533"/>
      <c r="U321" s="533"/>
      <c r="V321" s="533"/>
      <c r="W321" s="533"/>
      <c r="X321" s="533"/>
      <c r="Y321" s="533"/>
      <c r="Z321" s="533"/>
      <c r="AA321" s="533"/>
      <c r="AB321" s="533"/>
      <c r="AC321" s="533"/>
      <c r="AD321" s="533"/>
      <c r="AE321" s="533"/>
      <c r="AF321" s="533"/>
      <c r="AG321" s="533"/>
      <c r="AH321" s="533"/>
      <c r="AI321" s="533"/>
      <c r="AJ321" s="533"/>
      <c r="AK321" s="533"/>
      <c r="AL321" s="533"/>
      <c r="AM321" s="533"/>
      <c r="AN321" s="533"/>
      <c r="AO321" s="533"/>
    </row>
    <row r="322" spans="1:41" ht="12.95" customHeight="1" x14ac:dyDescent="0.2">
      <c r="A322" s="533"/>
      <c r="B322" s="533"/>
      <c r="C322" s="533"/>
      <c r="D322" s="594"/>
      <c r="E322" s="629"/>
      <c r="F322" s="630"/>
      <c r="G322" s="630"/>
      <c r="H322" s="629"/>
      <c r="I322" s="533"/>
      <c r="J322" s="533"/>
      <c r="K322" s="533"/>
      <c r="L322" s="532"/>
      <c r="M322" s="631"/>
      <c r="N322" s="533"/>
      <c r="O322" s="533"/>
      <c r="P322" s="533"/>
      <c r="Q322" s="533"/>
      <c r="R322" s="533"/>
      <c r="S322" s="533"/>
      <c r="T322" s="533"/>
      <c r="U322" s="533"/>
      <c r="V322" s="533"/>
      <c r="W322" s="533"/>
      <c r="X322" s="533"/>
      <c r="Y322" s="533"/>
      <c r="Z322" s="533"/>
      <c r="AA322" s="533"/>
      <c r="AB322" s="533"/>
      <c r="AC322" s="533"/>
      <c r="AD322" s="533"/>
      <c r="AE322" s="533"/>
      <c r="AF322" s="533"/>
      <c r="AG322" s="533"/>
      <c r="AH322" s="533"/>
      <c r="AI322" s="533"/>
      <c r="AJ322" s="533"/>
      <c r="AK322" s="533"/>
      <c r="AL322" s="533"/>
      <c r="AM322" s="533"/>
      <c r="AN322" s="533"/>
      <c r="AO322" s="533"/>
    </row>
    <row r="323" spans="1:41" ht="12.95" customHeight="1" x14ac:dyDescent="0.2">
      <c r="A323" s="533"/>
      <c r="B323" s="533"/>
      <c r="C323" s="533"/>
      <c r="D323" s="594"/>
      <c r="E323" s="629"/>
      <c r="F323" s="630"/>
      <c r="G323" s="630"/>
      <c r="H323" s="629"/>
      <c r="I323" s="533"/>
      <c r="J323" s="533"/>
      <c r="K323" s="533"/>
      <c r="L323" s="532"/>
      <c r="M323" s="631"/>
      <c r="N323" s="533"/>
      <c r="O323" s="533"/>
      <c r="P323" s="533"/>
      <c r="Q323" s="533"/>
      <c r="R323" s="533"/>
      <c r="S323" s="533"/>
      <c r="T323" s="533"/>
      <c r="U323" s="533"/>
      <c r="V323" s="533"/>
      <c r="W323" s="533"/>
      <c r="X323" s="533"/>
      <c r="Y323" s="533"/>
      <c r="Z323" s="533"/>
      <c r="AA323" s="533"/>
      <c r="AB323" s="533"/>
      <c r="AC323" s="533"/>
      <c r="AD323" s="533"/>
      <c r="AE323" s="533"/>
      <c r="AF323" s="533"/>
      <c r="AG323" s="533"/>
      <c r="AH323" s="533"/>
      <c r="AI323" s="533"/>
      <c r="AJ323" s="533"/>
      <c r="AK323" s="533"/>
      <c r="AL323" s="533"/>
      <c r="AM323" s="533"/>
      <c r="AN323" s="533"/>
      <c r="AO323" s="533"/>
    </row>
    <row r="324" spans="1:41" ht="12.95" customHeight="1" x14ac:dyDescent="0.2">
      <c r="A324" s="533"/>
      <c r="B324" s="533"/>
      <c r="C324" s="533"/>
      <c r="D324" s="594"/>
      <c r="E324" s="629"/>
      <c r="F324" s="630"/>
      <c r="G324" s="630"/>
      <c r="H324" s="629"/>
      <c r="I324" s="533"/>
      <c r="J324" s="533"/>
      <c r="K324" s="533"/>
      <c r="L324" s="532"/>
      <c r="M324" s="631"/>
      <c r="N324" s="533"/>
      <c r="O324" s="533"/>
      <c r="P324" s="533"/>
      <c r="Q324" s="533"/>
      <c r="R324" s="533"/>
      <c r="S324" s="533"/>
      <c r="T324" s="533"/>
      <c r="U324" s="533"/>
      <c r="V324" s="533"/>
      <c r="W324" s="533"/>
      <c r="X324" s="533"/>
      <c r="Y324" s="533"/>
      <c r="Z324" s="533"/>
      <c r="AA324" s="533"/>
      <c r="AB324" s="533"/>
      <c r="AC324" s="533"/>
      <c r="AD324" s="533"/>
      <c r="AE324" s="533"/>
      <c r="AF324" s="533"/>
      <c r="AG324" s="533"/>
      <c r="AH324" s="533"/>
      <c r="AI324" s="533"/>
      <c r="AJ324" s="533"/>
      <c r="AK324" s="533"/>
      <c r="AL324" s="533"/>
      <c r="AM324" s="533"/>
      <c r="AN324" s="533"/>
      <c r="AO324" s="533"/>
    </row>
    <row r="325" spans="1:41" ht="12.95" customHeight="1" x14ac:dyDescent="0.2">
      <c r="A325" s="533"/>
      <c r="B325" s="533"/>
      <c r="C325" s="533"/>
      <c r="D325" s="594"/>
      <c r="E325" s="629"/>
      <c r="F325" s="630"/>
      <c r="G325" s="630"/>
      <c r="H325" s="629"/>
      <c r="I325" s="533"/>
      <c r="J325" s="533"/>
      <c r="K325" s="533"/>
      <c r="L325" s="532"/>
      <c r="M325" s="631"/>
      <c r="N325" s="533"/>
      <c r="O325" s="533"/>
      <c r="P325" s="533"/>
      <c r="Q325" s="533"/>
      <c r="R325" s="533"/>
      <c r="S325" s="533"/>
      <c r="T325" s="533"/>
      <c r="U325" s="533"/>
      <c r="V325" s="533"/>
      <c r="W325" s="533"/>
      <c r="X325" s="533"/>
      <c r="Y325" s="533"/>
      <c r="Z325" s="533"/>
      <c r="AA325" s="533"/>
      <c r="AB325" s="533"/>
      <c r="AC325" s="533"/>
      <c r="AD325" s="533"/>
      <c r="AE325" s="533"/>
      <c r="AF325" s="533"/>
      <c r="AG325" s="533"/>
      <c r="AH325" s="533"/>
      <c r="AI325" s="533"/>
      <c r="AJ325" s="533"/>
      <c r="AK325" s="533"/>
      <c r="AL325" s="533"/>
      <c r="AM325" s="533"/>
      <c r="AN325" s="533"/>
      <c r="AO325" s="533"/>
    </row>
    <row r="326" spans="1:41" ht="12.95" customHeight="1" x14ac:dyDescent="0.2">
      <c r="A326" s="533"/>
      <c r="B326" s="533"/>
      <c r="C326" s="533"/>
      <c r="D326" s="594"/>
      <c r="E326" s="629"/>
      <c r="F326" s="630"/>
      <c r="G326" s="630"/>
      <c r="H326" s="629"/>
      <c r="I326" s="533"/>
      <c r="J326" s="533"/>
      <c r="K326" s="533"/>
      <c r="L326" s="532"/>
      <c r="M326" s="631"/>
      <c r="N326" s="533"/>
      <c r="O326" s="533"/>
      <c r="P326" s="533"/>
      <c r="Q326" s="533"/>
      <c r="R326" s="533"/>
      <c r="S326" s="533"/>
      <c r="T326" s="533"/>
      <c r="U326" s="533"/>
      <c r="V326" s="533"/>
      <c r="W326" s="533"/>
      <c r="X326" s="533"/>
      <c r="Y326" s="533"/>
      <c r="Z326" s="533"/>
      <c r="AA326" s="533"/>
      <c r="AB326" s="533"/>
      <c r="AC326" s="533"/>
      <c r="AD326" s="533"/>
      <c r="AE326" s="533"/>
      <c r="AF326" s="533"/>
      <c r="AG326" s="533"/>
      <c r="AH326" s="533"/>
      <c r="AI326" s="533"/>
      <c r="AJ326" s="533"/>
      <c r="AK326" s="533"/>
      <c r="AL326" s="533"/>
      <c r="AM326" s="533"/>
      <c r="AN326" s="533"/>
      <c r="AO326" s="533"/>
    </row>
    <row r="327" spans="1:41" ht="12.95" customHeight="1" x14ac:dyDescent="0.2">
      <c r="A327" s="533"/>
      <c r="B327" s="533"/>
      <c r="C327" s="533"/>
      <c r="D327" s="594"/>
      <c r="E327" s="629"/>
      <c r="F327" s="630"/>
      <c r="G327" s="630"/>
      <c r="H327" s="629"/>
      <c r="I327" s="533"/>
      <c r="J327" s="533"/>
      <c r="K327" s="533"/>
      <c r="L327" s="532"/>
      <c r="M327" s="631"/>
      <c r="N327" s="533"/>
      <c r="O327" s="533"/>
      <c r="P327" s="533"/>
      <c r="Q327" s="533"/>
      <c r="R327" s="533"/>
      <c r="S327" s="533"/>
      <c r="T327" s="533"/>
      <c r="U327" s="533"/>
      <c r="V327" s="533"/>
      <c r="W327" s="533"/>
      <c r="X327" s="533"/>
      <c r="Y327" s="533"/>
      <c r="Z327" s="533"/>
      <c r="AA327" s="533"/>
      <c r="AB327" s="533"/>
      <c r="AC327" s="533"/>
      <c r="AD327" s="533"/>
      <c r="AE327" s="533"/>
      <c r="AF327" s="533"/>
      <c r="AG327" s="533"/>
      <c r="AH327" s="533"/>
      <c r="AI327" s="533"/>
      <c r="AJ327" s="533"/>
      <c r="AK327" s="533"/>
      <c r="AL327" s="533"/>
      <c r="AM327" s="533"/>
      <c r="AN327" s="533"/>
      <c r="AO327" s="533"/>
    </row>
    <row r="328" spans="1:41" ht="12.95" customHeight="1" x14ac:dyDescent="0.2">
      <c r="A328" s="533"/>
      <c r="B328" s="533"/>
      <c r="C328" s="533"/>
      <c r="D328" s="594"/>
      <c r="E328" s="629"/>
      <c r="F328" s="630"/>
      <c r="G328" s="630"/>
      <c r="H328" s="629"/>
      <c r="I328" s="533"/>
      <c r="J328" s="533"/>
      <c r="K328" s="533"/>
      <c r="L328" s="532"/>
      <c r="M328" s="631"/>
      <c r="N328" s="533"/>
      <c r="O328" s="533"/>
      <c r="P328" s="533"/>
      <c r="Q328" s="533"/>
      <c r="R328" s="533"/>
      <c r="S328" s="533"/>
      <c r="T328" s="533"/>
      <c r="U328" s="533"/>
      <c r="V328" s="533"/>
      <c r="W328" s="533"/>
      <c r="X328" s="533"/>
      <c r="Y328" s="533"/>
      <c r="Z328" s="533"/>
      <c r="AA328" s="533"/>
      <c r="AB328" s="533"/>
      <c r="AC328" s="533"/>
      <c r="AD328" s="533"/>
      <c r="AE328" s="533"/>
      <c r="AF328" s="533"/>
      <c r="AG328" s="533"/>
      <c r="AH328" s="533"/>
      <c r="AI328" s="533"/>
      <c r="AJ328" s="533"/>
      <c r="AK328" s="533"/>
      <c r="AL328" s="533"/>
      <c r="AM328" s="533"/>
      <c r="AN328" s="533"/>
      <c r="AO328" s="533"/>
    </row>
    <row r="329" spans="1:41" ht="12.95" customHeight="1" x14ac:dyDescent="0.2">
      <c r="A329" s="533"/>
      <c r="B329" s="533"/>
      <c r="C329" s="533"/>
      <c r="D329" s="594"/>
      <c r="E329" s="629"/>
      <c r="F329" s="630"/>
      <c r="G329" s="630"/>
      <c r="H329" s="629"/>
      <c r="I329" s="533"/>
      <c r="J329" s="533"/>
      <c r="K329" s="533"/>
      <c r="L329" s="532"/>
      <c r="M329" s="631"/>
      <c r="N329" s="533"/>
      <c r="O329" s="533"/>
      <c r="P329" s="533"/>
      <c r="Q329" s="533"/>
      <c r="R329" s="533"/>
      <c r="S329" s="533"/>
      <c r="T329" s="533"/>
      <c r="U329" s="533"/>
      <c r="V329" s="533"/>
      <c r="W329" s="533"/>
      <c r="X329" s="533"/>
      <c r="Y329" s="533"/>
      <c r="Z329" s="533"/>
      <c r="AA329" s="533"/>
      <c r="AB329" s="533"/>
      <c r="AC329" s="533"/>
      <c r="AD329" s="533"/>
      <c r="AE329" s="533"/>
      <c r="AF329" s="533"/>
      <c r="AG329" s="533"/>
      <c r="AH329" s="533"/>
      <c r="AI329" s="533"/>
      <c r="AJ329" s="533"/>
      <c r="AK329" s="533"/>
      <c r="AL329" s="533"/>
      <c r="AM329" s="533"/>
      <c r="AN329" s="533"/>
      <c r="AO329" s="533"/>
    </row>
    <row r="330" spans="1:41" ht="12.95" customHeight="1" x14ac:dyDescent="0.2">
      <c r="A330" s="533"/>
      <c r="B330" s="533"/>
      <c r="C330" s="533"/>
      <c r="D330" s="594"/>
      <c r="E330" s="629"/>
      <c r="F330" s="630"/>
      <c r="G330" s="630"/>
      <c r="H330" s="629"/>
      <c r="I330" s="533"/>
      <c r="J330" s="533"/>
      <c r="K330" s="533"/>
      <c r="L330" s="532"/>
      <c r="M330" s="631"/>
      <c r="N330" s="533"/>
      <c r="O330" s="533"/>
      <c r="P330" s="533"/>
      <c r="Q330" s="533"/>
      <c r="R330" s="533"/>
      <c r="S330" s="533"/>
      <c r="T330" s="533"/>
      <c r="U330" s="533"/>
      <c r="V330" s="533"/>
      <c r="W330" s="533"/>
      <c r="X330" s="533"/>
      <c r="Y330" s="533"/>
      <c r="Z330" s="533"/>
      <c r="AA330" s="533"/>
      <c r="AB330" s="533"/>
      <c r="AC330" s="533"/>
      <c r="AD330" s="533"/>
      <c r="AE330" s="533"/>
      <c r="AF330" s="533"/>
      <c r="AG330" s="533"/>
      <c r="AH330" s="533"/>
      <c r="AI330" s="533"/>
      <c r="AJ330" s="533"/>
      <c r="AK330" s="533"/>
      <c r="AL330" s="533"/>
      <c r="AM330" s="533"/>
      <c r="AN330" s="533"/>
      <c r="AO330" s="533"/>
    </row>
    <row r="331" spans="1:41" ht="12.95" customHeight="1" x14ac:dyDescent="0.2">
      <c r="A331" s="533"/>
      <c r="B331" s="533"/>
      <c r="C331" s="533"/>
      <c r="D331" s="594"/>
      <c r="E331" s="629"/>
      <c r="F331" s="630"/>
      <c r="G331" s="630"/>
      <c r="H331" s="629"/>
      <c r="I331" s="533"/>
      <c r="J331" s="533"/>
      <c r="K331" s="533"/>
      <c r="L331" s="532"/>
      <c r="M331" s="631"/>
      <c r="N331" s="533"/>
      <c r="O331" s="533"/>
      <c r="P331" s="533"/>
      <c r="Q331" s="533"/>
      <c r="R331" s="533"/>
      <c r="S331" s="533"/>
      <c r="T331" s="533"/>
      <c r="U331" s="533"/>
      <c r="V331" s="533"/>
      <c r="W331" s="533"/>
      <c r="X331" s="533"/>
      <c r="Y331" s="533"/>
      <c r="Z331" s="533"/>
      <c r="AA331" s="533"/>
      <c r="AB331" s="533"/>
      <c r="AC331" s="533"/>
      <c r="AD331" s="533"/>
      <c r="AE331" s="533"/>
      <c r="AF331" s="533"/>
      <c r="AG331" s="533"/>
      <c r="AH331" s="533"/>
      <c r="AI331" s="533"/>
      <c r="AJ331" s="533"/>
      <c r="AK331" s="533"/>
      <c r="AL331" s="533"/>
      <c r="AM331" s="533"/>
      <c r="AN331" s="533"/>
      <c r="AO331" s="533"/>
    </row>
    <row r="332" spans="1:41" ht="12.95" customHeight="1" x14ac:dyDescent="0.2">
      <c r="A332" s="533"/>
      <c r="B332" s="533"/>
      <c r="C332" s="533"/>
      <c r="D332" s="594"/>
      <c r="E332" s="629"/>
      <c r="F332" s="630"/>
      <c r="G332" s="630"/>
      <c r="H332" s="629"/>
      <c r="I332" s="533"/>
      <c r="J332" s="533"/>
      <c r="K332" s="533"/>
      <c r="L332" s="532"/>
      <c r="M332" s="631"/>
      <c r="N332" s="533"/>
      <c r="O332" s="533"/>
      <c r="P332" s="533"/>
      <c r="Q332" s="533"/>
      <c r="R332" s="533"/>
      <c r="S332" s="533"/>
      <c r="T332" s="533"/>
      <c r="U332" s="533"/>
      <c r="V332" s="533"/>
      <c r="W332" s="533"/>
      <c r="X332" s="533"/>
      <c r="Y332" s="533"/>
      <c r="Z332" s="533"/>
      <c r="AA332" s="533"/>
      <c r="AB332" s="533"/>
      <c r="AC332" s="533"/>
      <c r="AD332" s="533"/>
      <c r="AE332" s="533"/>
      <c r="AF332" s="533"/>
      <c r="AG332" s="533"/>
      <c r="AH332" s="533"/>
      <c r="AI332" s="533"/>
      <c r="AJ332" s="533"/>
      <c r="AK332" s="533"/>
      <c r="AL332" s="533"/>
      <c r="AM332" s="533"/>
      <c r="AN332" s="533"/>
      <c r="AO332" s="533"/>
    </row>
    <row r="333" spans="1:41" ht="12.95" customHeight="1" x14ac:dyDescent="0.2">
      <c r="A333" s="533"/>
      <c r="B333" s="533"/>
      <c r="C333" s="533"/>
      <c r="D333" s="594"/>
      <c r="E333" s="629"/>
      <c r="F333" s="630"/>
      <c r="G333" s="630"/>
      <c r="H333" s="629"/>
      <c r="I333" s="533"/>
      <c r="J333" s="533"/>
      <c r="K333" s="533"/>
      <c r="L333" s="532"/>
      <c r="M333" s="631"/>
      <c r="N333" s="533"/>
      <c r="O333" s="533"/>
      <c r="P333" s="533"/>
      <c r="Q333" s="533"/>
      <c r="R333" s="533"/>
      <c r="S333" s="533"/>
      <c r="T333" s="533"/>
      <c r="U333" s="533"/>
      <c r="V333" s="533"/>
      <c r="W333" s="533"/>
      <c r="X333" s="533"/>
      <c r="Y333" s="533"/>
      <c r="Z333" s="533"/>
      <c r="AA333" s="533"/>
      <c r="AB333" s="533"/>
      <c r="AC333" s="533"/>
      <c r="AD333" s="533"/>
      <c r="AE333" s="533"/>
      <c r="AF333" s="533"/>
      <c r="AG333" s="533"/>
      <c r="AH333" s="533"/>
      <c r="AI333" s="533"/>
      <c r="AJ333" s="533"/>
      <c r="AK333" s="533"/>
      <c r="AL333" s="533"/>
      <c r="AM333" s="533"/>
      <c r="AN333" s="533"/>
      <c r="AO333" s="533"/>
    </row>
    <row r="334" spans="1:41" ht="12.95" customHeight="1" x14ac:dyDescent="0.2">
      <c r="A334" s="533"/>
      <c r="B334" s="533"/>
      <c r="C334" s="533"/>
      <c r="D334" s="594"/>
      <c r="E334" s="629"/>
      <c r="F334" s="630"/>
      <c r="G334" s="630"/>
      <c r="H334" s="629"/>
      <c r="I334" s="533"/>
      <c r="J334" s="533"/>
      <c r="K334" s="533"/>
      <c r="L334" s="532"/>
      <c r="M334" s="631"/>
      <c r="N334" s="533"/>
      <c r="O334" s="533"/>
      <c r="P334" s="533"/>
      <c r="Q334" s="533"/>
      <c r="R334" s="533"/>
      <c r="S334" s="533"/>
      <c r="T334" s="533"/>
      <c r="U334" s="533"/>
      <c r="V334" s="533"/>
      <c r="W334" s="533"/>
      <c r="X334" s="533"/>
      <c r="Y334" s="533"/>
      <c r="Z334" s="533"/>
      <c r="AA334" s="533"/>
      <c r="AB334" s="533"/>
      <c r="AC334" s="533"/>
      <c r="AD334" s="533"/>
      <c r="AE334" s="533"/>
      <c r="AF334" s="533"/>
      <c r="AG334" s="533"/>
      <c r="AH334" s="533"/>
      <c r="AI334" s="533"/>
      <c r="AJ334" s="533"/>
      <c r="AK334" s="533"/>
      <c r="AL334" s="533"/>
      <c r="AM334" s="533"/>
      <c r="AN334" s="533"/>
      <c r="AO334" s="533"/>
    </row>
    <row r="335" spans="1:41" ht="12.95" customHeight="1" x14ac:dyDescent="0.2">
      <c r="A335" s="533"/>
      <c r="B335" s="533"/>
      <c r="C335" s="533"/>
      <c r="D335" s="594"/>
      <c r="E335" s="629"/>
      <c r="F335" s="630"/>
      <c r="G335" s="630"/>
      <c r="H335" s="629"/>
      <c r="I335" s="533"/>
      <c r="J335" s="533"/>
      <c r="K335" s="533"/>
      <c r="L335" s="532"/>
      <c r="M335" s="631"/>
      <c r="N335" s="533"/>
      <c r="O335" s="533"/>
      <c r="P335" s="533"/>
      <c r="Q335" s="533"/>
      <c r="R335" s="533"/>
      <c r="S335" s="533"/>
      <c r="T335" s="533"/>
      <c r="U335" s="533"/>
      <c r="V335" s="533"/>
      <c r="W335" s="533"/>
      <c r="X335" s="533"/>
      <c r="Y335" s="533"/>
      <c r="Z335" s="533"/>
      <c r="AA335" s="533"/>
      <c r="AB335" s="533"/>
      <c r="AC335" s="533"/>
      <c r="AD335" s="533"/>
      <c r="AE335" s="533"/>
      <c r="AF335" s="533"/>
      <c r="AG335" s="533"/>
      <c r="AH335" s="533"/>
      <c r="AI335" s="533"/>
      <c r="AJ335" s="533"/>
      <c r="AK335" s="533"/>
      <c r="AL335" s="533"/>
      <c r="AM335" s="533"/>
      <c r="AN335" s="533"/>
      <c r="AO335" s="533"/>
    </row>
    <row r="336" spans="1:41" ht="12.95" customHeight="1" x14ac:dyDescent="0.2">
      <c r="A336" s="533"/>
      <c r="B336" s="533"/>
      <c r="C336" s="533"/>
      <c r="D336" s="594"/>
      <c r="E336" s="629"/>
      <c r="F336" s="630"/>
      <c r="G336" s="630"/>
      <c r="H336" s="629"/>
      <c r="I336" s="533"/>
      <c r="J336" s="533"/>
      <c r="K336" s="533"/>
      <c r="L336" s="532"/>
      <c r="M336" s="631"/>
      <c r="N336" s="533"/>
      <c r="O336" s="533"/>
      <c r="P336" s="533"/>
      <c r="Q336" s="533"/>
      <c r="R336" s="533"/>
      <c r="S336" s="533"/>
      <c r="T336" s="533"/>
      <c r="U336" s="533"/>
      <c r="V336" s="533"/>
      <c r="W336" s="533"/>
      <c r="X336" s="533"/>
      <c r="Y336" s="533"/>
      <c r="Z336" s="533"/>
      <c r="AA336" s="533"/>
      <c r="AB336" s="533"/>
      <c r="AC336" s="533"/>
      <c r="AD336" s="533"/>
      <c r="AE336" s="533"/>
      <c r="AF336" s="533"/>
      <c r="AG336" s="533"/>
      <c r="AH336" s="533"/>
      <c r="AI336" s="533"/>
      <c r="AJ336" s="533"/>
      <c r="AK336" s="533"/>
      <c r="AL336" s="533"/>
      <c r="AM336" s="533"/>
      <c r="AN336" s="533"/>
      <c r="AO336" s="533"/>
    </row>
    <row r="337" spans="1:41" ht="12.95" customHeight="1" x14ac:dyDescent="0.2">
      <c r="A337" s="533"/>
      <c r="B337" s="533"/>
      <c r="C337" s="533"/>
      <c r="D337" s="594"/>
      <c r="E337" s="629"/>
      <c r="F337" s="630"/>
      <c r="G337" s="630"/>
      <c r="H337" s="629"/>
      <c r="I337" s="533"/>
      <c r="J337" s="533"/>
      <c r="K337" s="533"/>
      <c r="L337" s="532"/>
      <c r="M337" s="631"/>
      <c r="N337" s="533"/>
      <c r="O337" s="533"/>
      <c r="P337" s="533"/>
      <c r="Q337" s="533"/>
      <c r="R337" s="533"/>
      <c r="S337" s="533"/>
      <c r="T337" s="533"/>
      <c r="U337" s="533"/>
      <c r="V337" s="533"/>
      <c r="W337" s="533"/>
      <c r="X337" s="533"/>
      <c r="Y337" s="533"/>
      <c r="Z337" s="533"/>
      <c r="AA337" s="533"/>
      <c r="AB337" s="533"/>
      <c r="AC337" s="533"/>
      <c r="AD337" s="533"/>
      <c r="AE337" s="533"/>
      <c r="AF337" s="533"/>
      <c r="AG337" s="533"/>
      <c r="AH337" s="533"/>
      <c r="AI337" s="533"/>
      <c r="AJ337" s="533"/>
      <c r="AK337" s="533"/>
      <c r="AL337" s="533"/>
      <c r="AM337" s="533"/>
      <c r="AN337" s="533"/>
      <c r="AO337" s="533"/>
    </row>
    <row r="338" spans="1:41" ht="12.95" customHeight="1" x14ac:dyDescent="0.2">
      <c r="A338" s="533"/>
      <c r="B338" s="533"/>
      <c r="C338" s="533"/>
      <c r="D338" s="594"/>
      <c r="E338" s="629"/>
      <c r="F338" s="630"/>
      <c r="G338" s="630"/>
      <c r="H338" s="629"/>
      <c r="I338" s="533"/>
      <c r="J338" s="533"/>
      <c r="K338" s="533"/>
      <c r="L338" s="532"/>
      <c r="M338" s="631"/>
      <c r="N338" s="533"/>
      <c r="O338" s="533"/>
      <c r="P338" s="533"/>
      <c r="Q338" s="533"/>
      <c r="R338" s="533"/>
      <c r="S338" s="533"/>
      <c r="T338" s="533"/>
      <c r="U338" s="533"/>
      <c r="V338" s="533"/>
      <c r="W338" s="533"/>
      <c r="X338" s="533"/>
      <c r="Y338" s="533"/>
      <c r="Z338" s="533"/>
      <c r="AA338" s="533"/>
      <c r="AB338" s="533"/>
      <c r="AC338" s="533"/>
      <c r="AD338" s="533"/>
      <c r="AE338" s="533"/>
      <c r="AF338" s="533"/>
      <c r="AG338" s="533"/>
      <c r="AH338" s="533"/>
      <c r="AI338" s="533"/>
      <c r="AJ338" s="533"/>
      <c r="AK338" s="533"/>
      <c r="AL338" s="533"/>
      <c r="AM338" s="533"/>
      <c r="AN338" s="533"/>
      <c r="AO338" s="533"/>
    </row>
    <row r="339" spans="1:41" ht="12.95" customHeight="1" x14ac:dyDescent="0.2">
      <c r="A339" s="533"/>
      <c r="B339" s="533"/>
      <c r="C339" s="533"/>
      <c r="D339" s="594"/>
      <c r="E339" s="629"/>
      <c r="F339" s="630"/>
      <c r="G339" s="630"/>
      <c r="H339" s="629"/>
      <c r="I339" s="533"/>
      <c r="J339" s="533"/>
      <c r="K339" s="533"/>
      <c r="L339" s="532"/>
      <c r="M339" s="631"/>
      <c r="N339" s="533"/>
      <c r="O339" s="533"/>
      <c r="P339" s="533"/>
      <c r="Q339" s="533"/>
      <c r="R339" s="533"/>
      <c r="S339" s="533"/>
      <c r="T339" s="533"/>
      <c r="U339" s="533"/>
      <c r="V339" s="533"/>
      <c r="W339" s="533"/>
      <c r="X339" s="533"/>
      <c r="Y339" s="533"/>
      <c r="Z339" s="533"/>
      <c r="AA339" s="533"/>
      <c r="AB339" s="533"/>
      <c r="AC339" s="533"/>
      <c r="AD339" s="533"/>
      <c r="AE339" s="533"/>
      <c r="AF339" s="533"/>
      <c r="AG339" s="533"/>
      <c r="AH339" s="533"/>
      <c r="AI339" s="533"/>
      <c r="AJ339" s="533"/>
      <c r="AK339" s="533"/>
      <c r="AL339" s="533"/>
      <c r="AM339" s="533"/>
      <c r="AN339" s="533"/>
      <c r="AO339" s="533"/>
    </row>
    <row r="340" spans="1:41" ht="12.95" customHeight="1" x14ac:dyDescent="0.2">
      <c r="A340" s="533"/>
      <c r="B340" s="533"/>
      <c r="C340" s="533"/>
      <c r="D340" s="594"/>
      <c r="E340" s="629"/>
      <c r="F340" s="630"/>
      <c r="G340" s="630"/>
      <c r="H340" s="629"/>
      <c r="I340" s="533"/>
      <c r="J340" s="533"/>
      <c r="K340" s="533"/>
      <c r="L340" s="532"/>
      <c r="M340" s="631"/>
      <c r="N340" s="533"/>
      <c r="O340" s="533"/>
      <c r="P340" s="533"/>
      <c r="Q340" s="533"/>
      <c r="R340" s="533"/>
      <c r="S340" s="533"/>
      <c r="T340" s="533"/>
      <c r="U340" s="533"/>
      <c r="V340" s="533"/>
      <c r="W340" s="533"/>
      <c r="X340" s="533"/>
      <c r="Y340" s="533"/>
      <c r="Z340" s="533"/>
      <c r="AA340" s="533"/>
      <c r="AB340" s="533"/>
      <c r="AC340" s="533"/>
      <c r="AD340" s="533"/>
      <c r="AE340" s="533"/>
      <c r="AF340" s="533"/>
      <c r="AG340" s="533"/>
      <c r="AH340" s="533"/>
      <c r="AI340" s="533"/>
      <c r="AJ340" s="533"/>
      <c r="AK340" s="533"/>
      <c r="AL340" s="533"/>
      <c r="AM340" s="533"/>
      <c r="AN340" s="533"/>
      <c r="AO340" s="533"/>
    </row>
    <row r="341" spans="1:41" ht="12.95" customHeight="1" x14ac:dyDescent="0.2">
      <c r="A341" s="533"/>
      <c r="B341" s="533"/>
      <c r="C341" s="533"/>
      <c r="D341" s="594"/>
      <c r="E341" s="629"/>
      <c r="F341" s="630"/>
      <c r="G341" s="630"/>
      <c r="H341" s="629"/>
      <c r="I341" s="533"/>
      <c r="J341" s="533"/>
      <c r="K341" s="533"/>
      <c r="L341" s="532"/>
      <c r="M341" s="631"/>
      <c r="N341" s="533"/>
      <c r="O341" s="533"/>
      <c r="P341" s="533"/>
      <c r="Q341" s="533"/>
      <c r="R341" s="533"/>
      <c r="S341" s="533"/>
      <c r="T341" s="533"/>
      <c r="U341" s="533"/>
      <c r="V341" s="533"/>
      <c r="W341" s="533"/>
      <c r="X341" s="533"/>
      <c r="Y341" s="533"/>
      <c r="Z341" s="533"/>
      <c r="AA341" s="533"/>
      <c r="AB341" s="533"/>
      <c r="AC341" s="533"/>
      <c r="AD341" s="533"/>
      <c r="AE341" s="533"/>
      <c r="AF341" s="533"/>
      <c r="AG341" s="533"/>
      <c r="AH341" s="533"/>
      <c r="AI341" s="533"/>
      <c r="AJ341" s="533"/>
      <c r="AK341" s="533"/>
      <c r="AL341" s="533"/>
      <c r="AM341" s="533"/>
      <c r="AN341" s="533"/>
      <c r="AO341" s="533"/>
    </row>
    <row r="342" spans="1:41" ht="12.95" customHeight="1" x14ac:dyDescent="0.2">
      <c r="A342" s="533"/>
      <c r="B342" s="533"/>
      <c r="C342" s="533"/>
      <c r="D342" s="594"/>
      <c r="E342" s="629"/>
      <c r="F342" s="630"/>
      <c r="G342" s="630"/>
      <c r="H342" s="629"/>
      <c r="I342" s="533"/>
      <c r="J342" s="533"/>
      <c r="K342" s="533"/>
      <c r="L342" s="532"/>
      <c r="M342" s="631"/>
      <c r="N342" s="533"/>
      <c r="O342" s="533"/>
      <c r="P342" s="533"/>
      <c r="Q342" s="533"/>
      <c r="R342" s="533"/>
      <c r="S342" s="533"/>
      <c r="T342" s="533"/>
      <c r="U342" s="533"/>
      <c r="V342" s="533"/>
      <c r="W342" s="533"/>
      <c r="X342" s="533"/>
      <c r="Y342" s="533"/>
      <c r="Z342" s="533"/>
      <c r="AA342" s="533"/>
      <c r="AB342" s="533"/>
      <c r="AC342" s="533"/>
      <c r="AD342" s="533"/>
      <c r="AE342" s="533"/>
      <c r="AF342" s="533"/>
      <c r="AG342" s="533"/>
      <c r="AH342" s="533"/>
      <c r="AI342" s="533"/>
      <c r="AJ342" s="533"/>
      <c r="AK342" s="533"/>
      <c r="AL342" s="533"/>
      <c r="AM342" s="533"/>
      <c r="AN342" s="533"/>
      <c r="AO342" s="533"/>
    </row>
    <row r="343" spans="1:41" ht="12.95" customHeight="1" x14ac:dyDescent="0.2">
      <c r="A343" s="533"/>
      <c r="B343" s="533"/>
      <c r="C343" s="533"/>
      <c r="D343" s="594"/>
      <c r="E343" s="629"/>
      <c r="F343" s="630"/>
      <c r="G343" s="630"/>
      <c r="H343" s="629"/>
      <c r="I343" s="533"/>
      <c r="J343" s="533"/>
      <c r="K343" s="533"/>
      <c r="L343" s="532"/>
      <c r="M343" s="631"/>
      <c r="N343" s="533"/>
      <c r="O343" s="533"/>
      <c r="P343" s="533"/>
      <c r="Q343" s="533"/>
      <c r="R343" s="533"/>
      <c r="S343" s="533"/>
      <c r="T343" s="533"/>
      <c r="U343" s="533"/>
      <c r="V343" s="533"/>
      <c r="W343" s="533"/>
      <c r="X343" s="533"/>
      <c r="Y343" s="533"/>
      <c r="Z343" s="533"/>
      <c r="AA343" s="533"/>
      <c r="AB343" s="533"/>
      <c r="AC343" s="533"/>
      <c r="AD343" s="533"/>
      <c r="AE343" s="533"/>
      <c r="AF343" s="533"/>
      <c r="AG343" s="533"/>
      <c r="AH343" s="533"/>
      <c r="AI343" s="533"/>
      <c r="AJ343" s="533"/>
      <c r="AK343" s="533"/>
      <c r="AL343" s="533"/>
      <c r="AM343" s="533"/>
      <c r="AN343" s="533"/>
      <c r="AO343" s="533"/>
    </row>
    <row r="344" spans="1:41" ht="12.95" customHeight="1" x14ac:dyDescent="0.2">
      <c r="A344" s="533"/>
      <c r="B344" s="533"/>
      <c r="C344" s="533"/>
      <c r="D344" s="594"/>
      <c r="E344" s="629"/>
      <c r="F344" s="630"/>
      <c r="G344" s="630"/>
      <c r="H344" s="629"/>
      <c r="I344" s="533"/>
      <c r="J344" s="533"/>
      <c r="K344" s="533"/>
      <c r="L344" s="532"/>
      <c r="M344" s="631"/>
      <c r="N344" s="533"/>
      <c r="O344" s="533"/>
      <c r="P344" s="533"/>
      <c r="Q344" s="533"/>
      <c r="R344" s="533"/>
      <c r="S344" s="533"/>
      <c r="T344" s="533"/>
      <c r="U344" s="533"/>
      <c r="V344" s="533"/>
      <c r="W344" s="533"/>
      <c r="X344" s="533"/>
      <c r="Y344" s="533"/>
      <c r="Z344" s="533"/>
      <c r="AA344" s="533"/>
      <c r="AB344" s="533"/>
      <c r="AC344" s="533"/>
      <c r="AD344" s="533"/>
      <c r="AE344" s="533"/>
      <c r="AF344" s="533"/>
      <c r="AG344" s="533"/>
      <c r="AH344" s="533"/>
      <c r="AI344" s="533"/>
      <c r="AJ344" s="533"/>
      <c r="AK344" s="533"/>
      <c r="AL344" s="533"/>
      <c r="AM344" s="533"/>
      <c r="AN344" s="533"/>
      <c r="AO344" s="533"/>
    </row>
    <row r="345" spans="1:41" ht="12.95" customHeight="1" x14ac:dyDescent="0.2">
      <c r="A345" s="533"/>
      <c r="B345" s="533"/>
      <c r="C345" s="533"/>
      <c r="D345" s="594"/>
      <c r="E345" s="629"/>
      <c r="F345" s="630"/>
      <c r="G345" s="630"/>
      <c r="H345" s="629"/>
      <c r="I345" s="533"/>
      <c r="J345" s="533"/>
      <c r="K345" s="533"/>
      <c r="L345" s="532"/>
      <c r="M345" s="631"/>
      <c r="N345" s="533"/>
      <c r="O345" s="533"/>
      <c r="P345" s="533"/>
      <c r="Q345" s="533"/>
      <c r="R345" s="533"/>
      <c r="S345" s="533"/>
      <c r="T345" s="533"/>
      <c r="U345" s="533"/>
      <c r="V345" s="533"/>
      <c r="W345" s="533"/>
      <c r="X345" s="533"/>
      <c r="Y345" s="533"/>
      <c r="Z345" s="533"/>
      <c r="AA345" s="533"/>
      <c r="AB345" s="533"/>
      <c r="AC345" s="533"/>
      <c r="AD345" s="533"/>
      <c r="AE345" s="533"/>
      <c r="AF345" s="533"/>
      <c r="AG345" s="533"/>
      <c r="AH345" s="533"/>
      <c r="AI345" s="533"/>
      <c r="AJ345" s="533"/>
      <c r="AK345" s="533"/>
      <c r="AL345" s="533"/>
      <c r="AM345" s="533"/>
      <c r="AN345" s="533"/>
      <c r="AO345" s="533"/>
    </row>
    <row r="346" spans="1:41" ht="12.95" customHeight="1" x14ac:dyDescent="0.2">
      <c r="A346" s="533"/>
      <c r="B346" s="533"/>
      <c r="C346" s="533"/>
      <c r="D346" s="594"/>
      <c r="E346" s="629"/>
      <c r="F346" s="630"/>
      <c r="G346" s="630"/>
      <c r="H346" s="629"/>
      <c r="I346" s="533"/>
      <c r="J346" s="533"/>
      <c r="K346" s="533"/>
      <c r="L346" s="532"/>
      <c r="M346" s="631"/>
      <c r="N346" s="533"/>
      <c r="O346" s="533"/>
      <c r="P346" s="533"/>
      <c r="Q346" s="533"/>
      <c r="R346" s="533"/>
      <c r="S346" s="533"/>
      <c r="T346" s="533"/>
      <c r="U346" s="533"/>
      <c r="V346" s="533"/>
      <c r="W346" s="533"/>
      <c r="X346" s="533"/>
      <c r="Y346" s="533"/>
      <c r="Z346" s="533"/>
      <c r="AA346" s="533"/>
      <c r="AB346" s="533"/>
      <c r="AC346" s="533"/>
      <c r="AD346" s="533"/>
      <c r="AE346" s="533"/>
      <c r="AF346" s="533"/>
      <c r="AG346" s="533"/>
      <c r="AH346" s="533"/>
      <c r="AI346" s="533"/>
      <c r="AJ346" s="533"/>
      <c r="AK346" s="533"/>
      <c r="AL346" s="533"/>
      <c r="AM346" s="533"/>
      <c r="AN346" s="533"/>
      <c r="AO346" s="533"/>
    </row>
    <row r="347" spans="1:41" ht="12.95" customHeight="1" x14ac:dyDescent="0.2">
      <c r="A347" s="533"/>
      <c r="B347" s="533"/>
      <c r="C347" s="533"/>
      <c r="D347" s="594"/>
      <c r="E347" s="629"/>
      <c r="F347" s="630"/>
      <c r="G347" s="630"/>
      <c r="H347" s="629"/>
      <c r="I347" s="533"/>
      <c r="J347" s="533"/>
      <c r="K347" s="533"/>
      <c r="L347" s="532"/>
      <c r="M347" s="631"/>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row>
    <row r="348" spans="1:41" ht="12.95" customHeight="1" x14ac:dyDescent="0.2">
      <c r="A348" s="533"/>
      <c r="B348" s="533"/>
      <c r="C348" s="533"/>
      <c r="D348" s="594"/>
      <c r="E348" s="629"/>
      <c r="F348" s="630"/>
      <c r="G348" s="630"/>
      <c r="H348" s="629"/>
      <c r="I348" s="533"/>
      <c r="J348" s="533"/>
      <c r="K348" s="533"/>
      <c r="L348" s="532"/>
      <c r="M348" s="631"/>
      <c r="N348" s="533"/>
      <c r="O348" s="533"/>
      <c r="P348" s="533"/>
      <c r="Q348" s="533"/>
      <c r="R348" s="533"/>
      <c r="S348" s="533"/>
      <c r="T348" s="533"/>
      <c r="U348" s="533"/>
      <c r="V348" s="533"/>
      <c r="W348" s="533"/>
      <c r="X348" s="533"/>
      <c r="Y348" s="533"/>
      <c r="Z348" s="533"/>
      <c r="AA348" s="533"/>
      <c r="AB348" s="533"/>
      <c r="AC348" s="533"/>
      <c r="AD348" s="533"/>
      <c r="AE348" s="533"/>
      <c r="AF348" s="533"/>
      <c r="AG348" s="533"/>
      <c r="AH348" s="533"/>
      <c r="AI348" s="533"/>
      <c r="AJ348" s="533"/>
      <c r="AK348" s="533"/>
      <c r="AL348" s="533"/>
      <c r="AM348" s="533"/>
      <c r="AN348" s="533"/>
      <c r="AO348" s="533"/>
    </row>
    <row r="349" spans="1:41" ht="12.95" customHeight="1" x14ac:dyDescent="0.2">
      <c r="A349" s="533"/>
      <c r="B349" s="533"/>
      <c r="C349" s="533"/>
      <c r="D349" s="594"/>
      <c r="E349" s="629"/>
      <c r="F349" s="630"/>
      <c r="G349" s="630"/>
      <c r="H349" s="629"/>
      <c r="I349" s="533"/>
      <c r="J349" s="533"/>
      <c r="K349" s="533"/>
      <c r="L349" s="532"/>
      <c r="M349" s="631"/>
      <c r="N349" s="533"/>
      <c r="O349" s="533"/>
      <c r="P349" s="533"/>
      <c r="Q349" s="533"/>
      <c r="R349" s="533"/>
      <c r="S349" s="533"/>
      <c r="T349" s="533"/>
      <c r="U349" s="533"/>
      <c r="V349" s="533"/>
      <c r="W349" s="533"/>
      <c r="X349" s="533"/>
      <c r="Y349" s="533"/>
      <c r="Z349" s="533"/>
      <c r="AA349" s="533"/>
      <c r="AB349" s="533"/>
      <c r="AC349" s="533"/>
      <c r="AD349" s="533"/>
      <c r="AE349" s="533"/>
      <c r="AF349" s="533"/>
      <c r="AG349" s="533"/>
      <c r="AH349" s="533"/>
      <c r="AI349" s="533"/>
      <c r="AJ349" s="533"/>
      <c r="AK349" s="533"/>
      <c r="AL349" s="533"/>
      <c r="AM349" s="533"/>
      <c r="AN349" s="533"/>
      <c r="AO349" s="533"/>
    </row>
    <row r="350" spans="1:41" ht="12.95" customHeight="1" x14ac:dyDescent="0.2">
      <c r="A350" s="533"/>
      <c r="B350" s="533"/>
      <c r="C350" s="533"/>
      <c r="D350" s="594"/>
      <c r="E350" s="629"/>
      <c r="F350" s="630"/>
      <c r="G350" s="630"/>
      <c r="H350" s="629"/>
      <c r="I350" s="533"/>
      <c r="J350" s="533"/>
      <c r="K350" s="533"/>
      <c r="L350" s="532"/>
      <c r="M350" s="631"/>
      <c r="N350" s="533"/>
      <c r="O350" s="533"/>
      <c r="P350" s="533"/>
      <c r="Q350" s="533"/>
      <c r="R350" s="533"/>
      <c r="S350" s="533"/>
      <c r="T350" s="533"/>
      <c r="U350" s="533"/>
      <c r="V350" s="533"/>
      <c r="W350" s="533"/>
      <c r="X350" s="533"/>
      <c r="Y350" s="533"/>
      <c r="Z350" s="533"/>
      <c r="AA350" s="533"/>
      <c r="AB350" s="533"/>
      <c r="AC350" s="533"/>
      <c r="AD350" s="533"/>
      <c r="AE350" s="533"/>
      <c r="AF350" s="533"/>
      <c r="AG350" s="533"/>
      <c r="AH350" s="533"/>
      <c r="AI350" s="533"/>
      <c r="AJ350" s="533"/>
      <c r="AK350" s="533"/>
      <c r="AL350" s="533"/>
      <c r="AM350" s="533"/>
      <c r="AN350" s="533"/>
      <c r="AO350" s="533"/>
    </row>
    <row r="351" spans="1:41" ht="12.95" customHeight="1" x14ac:dyDescent="0.2">
      <c r="A351" s="533"/>
      <c r="B351" s="533"/>
      <c r="C351" s="533"/>
      <c r="D351" s="594"/>
      <c r="E351" s="629"/>
      <c r="F351" s="630"/>
      <c r="G351" s="630"/>
      <c r="H351" s="629"/>
      <c r="I351" s="533"/>
      <c r="J351" s="533"/>
      <c r="K351" s="533"/>
      <c r="L351" s="532"/>
      <c r="M351" s="631"/>
      <c r="N351" s="533"/>
      <c r="O351" s="533"/>
      <c r="P351" s="533"/>
      <c r="Q351" s="533"/>
      <c r="R351" s="533"/>
      <c r="S351" s="533"/>
      <c r="T351" s="533"/>
      <c r="U351" s="533"/>
      <c r="V351" s="533"/>
      <c r="W351" s="533"/>
      <c r="X351" s="533"/>
      <c r="Y351" s="533"/>
      <c r="Z351" s="533"/>
      <c r="AA351" s="533"/>
      <c r="AB351" s="533"/>
      <c r="AC351" s="533"/>
      <c r="AD351" s="533"/>
      <c r="AE351" s="533"/>
      <c r="AF351" s="533"/>
      <c r="AG351" s="533"/>
      <c r="AH351" s="533"/>
      <c r="AI351" s="533"/>
      <c r="AJ351" s="533"/>
      <c r="AK351" s="533"/>
      <c r="AL351" s="533"/>
      <c r="AM351" s="533"/>
      <c r="AN351" s="533"/>
      <c r="AO351" s="533"/>
    </row>
    <row r="352" spans="1:41" ht="12.95" customHeight="1" x14ac:dyDescent="0.2">
      <c r="A352" s="533"/>
      <c r="B352" s="533"/>
      <c r="C352" s="533"/>
      <c r="D352" s="594"/>
      <c r="E352" s="629"/>
      <c r="F352" s="630"/>
      <c r="G352" s="630"/>
      <c r="H352" s="629"/>
      <c r="I352" s="533"/>
      <c r="J352" s="533"/>
      <c r="K352" s="533"/>
      <c r="L352" s="532"/>
      <c r="M352" s="631"/>
      <c r="N352" s="533"/>
      <c r="O352" s="533"/>
      <c r="P352" s="533"/>
      <c r="Q352" s="533"/>
      <c r="R352" s="533"/>
      <c r="S352" s="533"/>
      <c r="T352" s="533"/>
      <c r="U352" s="533"/>
      <c r="V352" s="533"/>
      <c r="W352" s="533"/>
      <c r="X352" s="533"/>
      <c r="Y352" s="533"/>
      <c r="Z352" s="533"/>
      <c r="AA352" s="533"/>
      <c r="AB352" s="533"/>
      <c r="AC352" s="533"/>
      <c r="AD352" s="533"/>
      <c r="AE352" s="533"/>
      <c r="AF352" s="533"/>
      <c r="AG352" s="533"/>
      <c r="AH352" s="533"/>
      <c r="AI352" s="533"/>
      <c r="AJ352" s="533"/>
      <c r="AK352" s="533"/>
      <c r="AL352" s="533"/>
      <c r="AM352" s="533"/>
      <c r="AN352" s="533"/>
      <c r="AO352" s="533"/>
    </row>
    <row r="353" spans="1:41" ht="12.95" customHeight="1" x14ac:dyDescent="0.2">
      <c r="A353" s="533"/>
      <c r="B353" s="533"/>
      <c r="C353" s="533"/>
      <c r="D353" s="594"/>
      <c r="E353" s="629"/>
      <c r="F353" s="630"/>
      <c r="G353" s="630"/>
      <c r="H353" s="629"/>
      <c r="I353" s="533"/>
      <c r="J353" s="533"/>
      <c r="K353" s="533"/>
      <c r="L353" s="532"/>
      <c r="M353" s="631"/>
      <c r="N353" s="533"/>
      <c r="O353" s="533"/>
      <c r="P353" s="533"/>
      <c r="Q353" s="533"/>
      <c r="R353" s="533"/>
      <c r="S353" s="533"/>
      <c r="T353" s="533"/>
      <c r="U353" s="533"/>
      <c r="V353" s="533"/>
      <c r="W353" s="533"/>
      <c r="X353" s="533"/>
      <c r="Y353" s="533"/>
      <c r="Z353" s="533"/>
      <c r="AA353" s="533"/>
      <c r="AB353" s="533"/>
      <c r="AC353" s="533"/>
      <c r="AD353" s="533"/>
      <c r="AE353" s="533"/>
      <c r="AF353" s="533"/>
      <c r="AG353" s="533"/>
      <c r="AH353" s="533"/>
      <c r="AI353" s="533"/>
      <c r="AJ353" s="533"/>
      <c r="AK353" s="533"/>
      <c r="AL353" s="533"/>
      <c r="AM353" s="533"/>
      <c r="AN353" s="533"/>
      <c r="AO353" s="533"/>
    </row>
    <row r="354" spans="1:41" ht="12.95" customHeight="1" x14ac:dyDescent="0.2">
      <c r="A354" s="533"/>
      <c r="B354" s="533"/>
      <c r="C354" s="533"/>
      <c r="D354" s="594"/>
      <c r="E354" s="629"/>
      <c r="F354" s="630"/>
      <c r="G354" s="630"/>
      <c r="H354" s="629"/>
      <c r="I354" s="533"/>
      <c r="J354" s="533"/>
      <c r="K354" s="533"/>
      <c r="L354" s="532"/>
      <c r="M354" s="631"/>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row>
    <row r="355" spans="1:41" ht="12.95" customHeight="1" x14ac:dyDescent="0.2">
      <c r="A355" s="533"/>
      <c r="B355" s="533"/>
      <c r="C355" s="533"/>
      <c r="D355" s="594"/>
      <c r="E355" s="629"/>
      <c r="F355" s="630"/>
      <c r="G355" s="630"/>
      <c r="H355" s="629"/>
      <c r="I355" s="533"/>
      <c r="J355" s="533"/>
      <c r="K355" s="533"/>
      <c r="L355" s="532"/>
      <c r="M355" s="631"/>
      <c r="N355" s="533"/>
      <c r="O355" s="533"/>
      <c r="P355" s="533"/>
      <c r="Q355" s="533"/>
      <c r="R355" s="533"/>
      <c r="S355" s="533"/>
      <c r="T355" s="533"/>
      <c r="U355" s="533"/>
      <c r="V355" s="533"/>
      <c r="W355" s="533"/>
      <c r="X355" s="533"/>
      <c r="Y355" s="533"/>
      <c r="Z355" s="533"/>
      <c r="AA355" s="533"/>
      <c r="AB355" s="533"/>
      <c r="AC355" s="533"/>
      <c r="AD355" s="533"/>
      <c r="AE355" s="533"/>
      <c r="AF355" s="533"/>
      <c r="AG355" s="533"/>
      <c r="AH355" s="533"/>
      <c r="AI355" s="533"/>
      <c r="AJ355" s="533"/>
      <c r="AK355" s="533"/>
      <c r="AL355" s="533"/>
      <c r="AM355" s="533"/>
      <c r="AN355" s="533"/>
      <c r="AO355" s="533"/>
    </row>
    <row r="356" spans="1:41" ht="12.95" customHeight="1" x14ac:dyDescent="0.2">
      <c r="A356" s="533"/>
      <c r="B356" s="533"/>
      <c r="C356" s="533"/>
      <c r="D356" s="594"/>
      <c r="E356" s="629"/>
      <c r="F356" s="630"/>
      <c r="G356" s="630"/>
      <c r="H356" s="629"/>
      <c r="I356" s="533"/>
      <c r="J356" s="533"/>
      <c r="K356" s="533"/>
      <c r="L356" s="532"/>
      <c r="M356" s="631"/>
      <c r="N356" s="533"/>
      <c r="O356" s="533"/>
      <c r="P356" s="533"/>
      <c r="Q356" s="533"/>
      <c r="R356" s="533"/>
      <c r="S356" s="533"/>
      <c r="T356" s="533"/>
      <c r="U356" s="533"/>
      <c r="V356" s="533"/>
      <c r="W356" s="533"/>
      <c r="X356" s="533"/>
      <c r="Y356" s="533"/>
      <c r="Z356" s="533"/>
      <c r="AA356" s="533"/>
      <c r="AB356" s="533"/>
      <c r="AC356" s="533"/>
      <c r="AD356" s="533"/>
      <c r="AE356" s="533"/>
      <c r="AF356" s="533"/>
      <c r="AG356" s="533"/>
      <c r="AH356" s="533"/>
      <c r="AI356" s="533"/>
      <c r="AJ356" s="533"/>
      <c r="AK356" s="533"/>
      <c r="AL356" s="533"/>
      <c r="AM356" s="533"/>
      <c r="AN356" s="533"/>
      <c r="AO356" s="533"/>
    </row>
    <row r="357" spans="1:41" ht="12.95" customHeight="1" x14ac:dyDescent="0.2">
      <c r="A357" s="533"/>
      <c r="B357" s="533"/>
      <c r="C357" s="533"/>
      <c r="D357" s="594"/>
      <c r="E357" s="629"/>
      <c r="F357" s="630"/>
      <c r="G357" s="630"/>
      <c r="H357" s="629"/>
      <c r="I357" s="533"/>
      <c r="J357" s="533"/>
      <c r="K357" s="533"/>
      <c r="L357" s="532"/>
      <c r="M357" s="631"/>
      <c r="N357" s="533"/>
      <c r="O357" s="533"/>
      <c r="P357" s="533"/>
      <c r="Q357" s="533"/>
      <c r="R357" s="533"/>
      <c r="S357" s="533"/>
      <c r="T357" s="533"/>
      <c r="U357" s="533"/>
      <c r="V357" s="533"/>
      <c r="W357" s="533"/>
      <c r="X357" s="533"/>
      <c r="Y357" s="533"/>
      <c r="Z357" s="533"/>
      <c r="AA357" s="533"/>
      <c r="AB357" s="533"/>
      <c r="AC357" s="533"/>
      <c r="AD357" s="533"/>
      <c r="AE357" s="533"/>
      <c r="AF357" s="533"/>
      <c r="AG357" s="533"/>
      <c r="AH357" s="533"/>
      <c r="AI357" s="533"/>
      <c r="AJ357" s="533"/>
      <c r="AK357" s="533"/>
      <c r="AL357" s="533"/>
      <c r="AM357" s="533"/>
      <c r="AN357" s="533"/>
      <c r="AO357" s="533"/>
    </row>
    <row r="358" spans="1:41" ht="12.95" customHeight="1" x14ac:dyDescent="0.2">
      <c r="A358" s="533"/>
      <c r="B358" s="533"/>
      <c r="C358" s="533"/>
      <c r="D358" s="594"/>
      <c r="E358" s="629"/>
      <c r="F358" s="630"/>
      <c r="G358" s="630"/>
      <c r="H358" s="629"/>
      <c r="I358" s="533"/>
      <c r="J358" s="533"/>
      <c r="K358" s="533"/>
      <c r="L358" s="532"/>
      <c r="M358" s="631"/>
      <c r="N358" s="533"/>
      <c r="O358" s="533"/>
      <c r="P358" s="533"/>
      <c r="Q358" s="533"/>
      <c r="R358" s="533"/>
      <c r="S358" s="533"/>
      <c r="T358" s="533"/>
      <c r="U358" s="533"/>
      <c r="V358" s="533"/>
      <c r="W358" s="533"/>
      <c r="X358" s="533"/>
      <c r="Y358" s="533"/>
      <c r="Z358" s="533"/>
      <c r="AA358" s="533"/>
      <c r="AB358" s="533"/>
      <c r="AC358" s="533"/>
      <c r="AD358" s="533"/>
      <c r="AE358" s="533"/>
      <c r="AF358" s="533"/>
      <c r="AG358" s="533"/>
      <c r="AH358" s="533"/>
      <c r="AI358" s="533"/>
      <c r="AJ358" s="533"/>
      <c r="AK358" s="533"/>
      <c r="AL358" s="533"/>
      <c r="AM358" s="533"/>
      <c r="AN358" s="533"/>
      <c r="AO358" s="533"/>
    </row>
    <row r="359" spans="1:41" ht="12.95" customHeight="1" x14ac:dyDescent="0.2">
      <c r="A359" s="533"/>
      <c r="B359" s="533"/>
      <c r="C359" s="533"/>
      <c r="D359" s="594"/>
      <c r="E359" s="629"/>
      <c r="F359" s="630"/>
      <c r="G359" s="630"/>
      <c r="H359" s="629"/>
      <c r="I359" s="533"/>
      <c r="J359" s="533"/>
      <c r="K359" s="533"/>
      <c r="L359" s="532"/>
      <c r="M359" s="631"/>
      <c r="N359" s="533"/>
      <c r="O359" s="533"/>
      <c r="P359" s="533"/>
      <c r="Q359" s="533"/>
      <c r="R359" s="533"/>
      <c r="S359" s="533"/>
      <c r="T359" s="533"/>
      <c r="U359" s="533"/>
      <c r="V359" s="533"/>
      <c r="W359" s="533"/>
      <c r="X359" s="533"/>
      <c r="Y359" s="533"/>
      <c r="Z359" s="533"/>
      <c r="AA359" s="533"/>
      <c r="AB359" s="533"/>
      <c r="AC359" s="533"/>
      <c r="AD359" s="533"/>
      <c r="AE359" s="533"/>
      <c r="AF359" s="533"/>
      <c r="AG359" s="533"/>
      <c r="AH359" s="533"/>
      <c r="AI359" s="533"/>
      <c r="AJ359" s="533"/>
      <c r="AK359" s="533"/>
      <c r="AL359" s="533"/>
      <c r="AM359" s="533"/>
      <c r="AN359" s="533"/>
      <c r="AO359" s="533"/>
    </row>
    <row r="360" spans="1:41" ht="12.95" customHeight="1" x14ac:dyDescent="0.2">
      <c r="A360" s="533"/>
      <c r="B360" s="533"/>
      <c r="C360" s="533"/>
      <c r="D360" s="594"/>
      <c r="E360" s="629"/>
      <c r="F360" s="630"/>
      <c r="G360" s="630"/>
      <c r="H360" s="629"/>
      <c r="I360" s="533"/>
      <c r="J360" s="533"/>
      <c r="K360" s="533"/>
      <c r="L360" s="532"/>
      <c r="M360" s="631"/>
      <c r="N360" s="533"/>
      <c r="O360" s="533"/>
      <c r="P360" s="533"/>
      <c r="Q360" s="533"/>
      <c r="R360" s="533"/>
      <c r="S360" s="533"/>
      <c r="T360" s="533"/>
      <c r="U360" s="533"/>
      <c r="V360" s="533"/>
      <c r="W360" s="533"/>
      <c r="X360" s="533"/>
      <c r="Y360" s="533"/>
      <c r="Z360" s="533"/>
      <c r="AA360" s="533"/>
      <c r="AB360" s="533"/>
      <c r="AC360" s="533"/>
      <c r="AD360" s="533"/>
      <c r="AE360" s="533"/>
      <c r="AF360" s="533"/>
      <c r="AG360" s="533"/>
      <c r="AH360" s="533"/>
      <c r="AI360" s="533"/>
      <c r="AJ360" s="533"/>
      <c r="AK360" s="533"/>
      <c r="AL360" s="533"/>
      <c r="AM360" s="533"/>
      <c r="AN360" s="533"/>
      <c r="AO360" s="533"/>
    </row>
    <row r="361" spans="1:41" ht="12.95" customHeight="1" x14ac:dyDescent="0.2">
      <c r="A361" s="533"/>
      <c r="B361" s="533"/>
      <c r="C361" s="533"/>
      <c r="D361" s="594"/>
      <c r="E361" s="629"/>
      <c r="F361" s="630"/>
      <c r="G361" s="630"/>
      <c r="H361" s="629"/>
      <c r="I361" s="533"/>
      <c r="J361" s="533"/>
      <c r="K361" s="533"/>
      <c r="L361" s="532"/>
      <c r="M361" s="631"/>
      <c r="N361" s="533"/>
      <c r="O361" s="533"/>
      <c r="P361" s="533"/>
      <c r="Q361" s="533"/>
      <c r="R361" s="533"/>
      <c r="S361" s="533"/>
      <c r="T361" s="533"/>
      <c r="U361" s="533"/>
      <c r="V361" s="533"/>
      <c r="W361" s="533"/>
      <c r="X361" s="533"/>
      <c r="Y361" s="533"/>
      <c r="Z361" s="533"/>
      <c r="AA361" s="533"/>
      <c r="AB361" s="533"/>
      <c r="AC361" s="533"/>
      <c r="AD361" s="533"/>
      <c r="AE361" s="533"/>
      <c r="AF361" s="533"/>
      <c r="AG361" s="533"/>
      <c r="AH361" s="533"/>
      <c r="AI361" s="533"/>
      <c r="AJ361" s="533"/>
      <c r="AK361" s="533"/>
      <c r="AL361" s="533"/>
      <c r="AM361" s="533"/>
      <c r="AN361" s="533"/>
      <c r="AO361" s="533"/>
    </row>
    <row r="362" spans="1:41" ht="12.95" customHeight="1" x14ac:dyDescent="0.2">
      <c r="A362" s="533"/>
      <c r="B362" s="533"/>
      <c r="C362" s="533"/>
      <c r="D362" s="594"/>
      <c r="E362" s="629"/>
      <c r="F362" s="630"/>
      <c r="G362" s="630"/>
      <c r="H362" s="629"/>
      <c r="I362" s="533"/>
      <c r="J362" s="533"/>
      <c r="K362" s="533"/>
      <c r="L362" s="532"/>
      <c r="M362" s="631"/>
      <c r="N362" s="533"/>
      <c r="O362" s="533"/>
      <c r="P362" s="533"/>
      <c r="Q362" s="533"/>
      <c r="R362" s="533"/>
      <c r="S362" s="533"/>
      <c r="T362" s="533"/>
      <c r="U362" s="533"/>
      <c r="V362" s="533"/>
      <c r="W362" s="533"/>
      <c r="X362" s="533"/>
      <c r="Y362" s="533"/>
      <c r="Z362" s="533"/>
      <c r="AA362" s="533"/>
      <c r="AB362" s="533"/>
      <c r="AC362" s="533"/>
      <c r="AD362" s="533"/>
      <c r="AE362" s="533"/>
      <c r="AF362" s="533"/>
      <c r="AG362" s="533"/>
      <c r="AH362" s="533"/>
      <c r="AI362" s="533"/>
      <c r="AJ362" s="533"/>
      <c r="AK362" s="533"/>
      <c r="AL362" s="533"/>
      <c r="AM362" s="533"/>
      <c r="AN362" s="533"/>
      <c r="AO362" s="533"/>
    </row>
    <row r="363" spans="1:41" ht="12.95" customHeight="1" x14ac:dyDescent="0.2">
      <c r="A363" s="533"/>
      <c r="B363" s="533"/>
      <c r="C363" s="533"/>
      <c r="D363" s="594"/>
      <c r="E363" s="629"/>
      <c r="F363" s="630"/>
      <c r="G363" s="630"/>
      <c r="H363" s="629"/>
      <c r="I363" s="533"/>
      <c r="J363" s="533"/>
      <c r="K363" s="533"/>
      <c r="L363" s="532"/>
      <c r="M363" s="631"/>
      <c r="N363" s="533"/>
      <c r="O363" s="533"/>
      <c r="P363" s="533"/>
      <c r="Q363" s="533"/>
      <c r="R363" s="533"/>
      <c r="S363" s="533"/>
      <c r="T363" s="533"/>
      <c r="U363" s="533"/>
      <c r="V363" s="533"/>
      <c r="W363" s="533"/>
      <c r="X363" s="533"/>
      <c r="Y363" s="533"/>
      <c r="Z363" s="533"/>
      <c r="AA363" s="533"/>
      <c r="AB363" s="533"/>
      <c r="AC363" s="533"/>
      <c r="AD363" s="533"/>
      <c r="AE363" s="533"/>
      <c r="AF363" s="533"/>
      <c r="AG363" s="533"/>
      <c r="AH363" s="533"/>
      <c r="AI363" s="533"/>
      <c r="AJ363" s="533"/>
      <c r="AK363" s="533"/>
      <c r="AL363" s="533"/>
      <c r="AM363" s="533"/>
      <c r="AN363" s="533"/>
      <c r="AO363" s="533"/>
    </row>
    <row r="364" spans="1:41" ht="12.95" customHeight="1" x14ac:dyDescent="0.2">
      <c r="A364" s="533"/>
      <c r="B364" s="533"/>
      <c r="C364" s="533"/>
      <c r="D364" s="594"/>
      <c r="E364" s="629"/>
      <c r="F364" s="630"/>
      <c r="G364" s="630"/>
      <c r="H364" s="629"/>
      <c r="I364" s="533"/>
      <c r="J364" s="533"/>
      <c r="K364" s="533"/>
      <c r="L364" s="532"/>
      <c r="M364" s="631"/>
      <c r="N364" s="533"/>
      <c r="O364" s="533"/>
      <c r="P364" s="533"/>
      <c r="Q364" s="533"/>
      <c r="R364" s="533"/>
      <c r="S364" s="533"/>
      <c r="T364" s="533"/>
      <c r="U364" s="533"/>
      <c r="V364" s="533"/>
      <c r="W364" s="533"/>
      <c r="X364" s="533"/>
      <c r="Y364" s="533"/>
      <c r="Z364" s="533"/>
      <c r="AA364" s="533"/>
      <c r="AB364" s="533"/>
      <c r="AC364" s="533"/>
      <c r="AD364" s="533"/>
      <c r="AE364" s="533"/>
      <c r="AF364" s="533"/>
      <c r="AG364" s="533"/>
      <c r="AH364" s="533"/>
      <c r="AI364" s="533"/>
      <c r="AJ364" s="533"/>
      <c r="AK364" s="533"/>
      <c r="AL364" s="533"/>
      <c r="AM364" s="533"/>
      <c r="AN364" s="533"/>
      <c r="AO364" s="533"/>
    </row>
    <row r="365" spans="1:41" ht="12.95" customHeight="1" x14ac:dyDescent="0.2">
      <c r="A365" s="533"/>
      <c r="B365" s="533"/>
      <c r="C365" s="533"/>
      <c r="D365" s="594"/>
      <c r="E365" s="629"/>
      <c r="F365" s="630"/>
      <c r="G365" s="630"/>
      <c r="H365" s="629"/>
      <c r="I365" s="533"/>
      <c r="J365" s="533"/>
      <c r="K365" s="533"/>
      <c r="L365" s="532"/>
      <c r="M365" s="631"/>
      <c r="N365" s="533"/>
      <c r="O365" s="533"/>
      <c r="P365" s="533"/>
      <c r="Q365" s="533"/>
      <c r="R365" s="533"/>
      <c r="S365" s="533"/>
      <c r="T365" s="533"/>
      <c r="U365" s="533"/>
      <c r="V365" s="533"/>
      <c r="W365" s="533"/>
      <c r="X365" s="533"/>
      <c r="Y365" s="533"/>
      <c r="Z365" s="533"/>
      <c r="AA365" s="533"/>
      <c r="AB365" s="533"/>
      <c r="AC365" s="533"/>
      <c r="AD365" s="533"/>
      <c r="AE365" s="533"/>
      <c r="AF365" s="533"/>
      <c r="AG365" s="533"/>
      <c r="AH365" s="533"/>
      <c r="AI365" s="533"/>
      <c r="AJ365" s="533"/>
      <c r="AK365" s="533"/>
      <c r="AL365" s="533"/>
      <c r="AM365" s="533"/>
      <c r="AN365" s="533"/>
      <c r="AO365" s="533"/>
    </row>
    <row r="366" spans="1:41" ht="12.95" customHeight="1" x14ac:dyDescent="0.2">
      <c r="A366" s="533"/>
      <c r="B366" s="533"/>
      <c r="C366" s="533"/>
      <c r="D366" s="594"/>
      <c r="E366" s="629"/>
      <c r="F366" s="630"/>
      <c r="G366" s="630"/>
      <c r="H366" s="629"/>
      <c r="I366" s="533"/>
      <c r="J366" s="533"/>
      <c r="K366" s="533"/>
      <c r="L366" s="532"/>
      <c r="M366" s="631"/>
      <c r="N366" s="533"/>
      <c r="O366" s="533"/>
      <c r="P366" s="533"/>
      <c r="Q366" s="533"/>
      <c r="R366" s="533"/>
      <c r="S366" s="533"/>
      <c r="T366" s="533"/>
      <c r="U366" s="533"/>
      <c r="V366" s="533"/>
      <c r="W366" s="533"/>
      <c r="X366" s="533"/>
      <c r="Y366" s="533"/>
      <c r="Z366" s="533"/>
      <c r="AA366" s="533"/>
      <c r="AB366" s="533"/>
      <c r="AC366" s="533"/>
      <c r="AD366" s="533"/>
      <c r="AE366" s="533"/>
      <c r="AF366" s="533"/>
      <c r="AG366" s="533"/>
      <c r="AH366" s="533"/>
      <c r="AI366" s="533"/>
      <c r="AJ366" s="533"/>
      <c r="AK366" s="533"/>
      <c r="AL366" s="533"/>
      <c r="AM366" s="533"/>
      <c r="AN366" s="533"/>
      <c r="AO366" s="533"/>
    </row>
    <row r="367" spans="1:41" ht="12.95" customHeight="1" x14ac:dyDescent="0.2">
      <c r="A367" s="533"/>
      <c r="B367" s="533"/>
      <c r="C367" s="533"/>
      <c r="D367" s="594"/>
      <c r="E367" s="629"/>
      <c r="F367" s="630"/>
      <c r="G367" s="630"/>
      <c r="H367" s="629"/>
      <c r="I367" s="533"/>
      <c r="J367" s="533"/>
      <c r="K367" s="533"/>
      <c r="L367" s="532"/>
      <c r="M367" s="631"/>
      <c r="N367" s="533"/>
      <c r="O367" s="533"/>
      <c r="P367" s="533"/>
      <c r="Q367" s="533"/>
      <c r="R367" s="533"/>
      <c r="S367" s="533"/>
      <c r="T367" s="533"/>
      <c r="U367" s="533"/>
      <c r="V367" s="533"/>
      <c r="W367" s="533"/>
      <c r="X367" s="533"/>
      <c r="Y367" s="533"/>
      <c r="Z367" s="533"/>
      <c r="AA367" s="533"/>
      <c r="AB367" s="533"/>
      <c r="AC367" s="533"/>
      <c r="AD367" s="533"/>
      <c r="AE367" s="533"/>
      <c r="AF367" s="533"/>
      <c r="AG367" s="533"/>
      <c r="AH367" s="533"/>
      <c r="AI367" s="533"/>
      <c r="AJ367" s="533"/>
      <c r="AK367" s="533"/>
      <c r="AL367" s="533"/>
      <c r="AM367" s="533"/>
      <c r="AN367" s="533"/>
      <c r="AO367" s="533"/>
    </row>
    <row r="368" spans="1:41" ht="12.95" customHeight="1" x14ac:dyDescent="0.2">
      <c r="A368" s="533"/>
      <c r="B368" s="533"/>
      <c r="C368" s="533"/>
      <c r="D368" s="594"/>
      <c r="E368" s="629"/>
      <c r="F368" s="630"/>
      <c r="G368" s="630"/>
      <c r="H368" s="629"/>
      <c r="I368" s="533"/>
      <c r="J368" s="533"/>
      <c r="K368" s="533"/>
      <c r="L368" s="532"/>
      <c r="M368" s="631"/>
      <c r="N368" s="533"/>
      <c r="O368" s="533"/>
      <c r="P368" s="533"/>
      <c r="Q368" s="533"/>
      <c r="R368" s="533"/>
      <c r="S368" s="533"/>
      <c r="T368" s="533"/>
      <c r="U368" s="533"/>
      <c r="V368" s="533"/>
      <c r="W368" s="533"/>
      <c r="X368" s="533"/>
      <c r="Y368" s="533"/>
      <c r="Z368" s="533"/>
      <c r="AA368" s="533"/>
      <c r="AB368" s="533"/>
      <c r="AC368" s="533"/>
      <c r="AD368" s="533"/>
      <c r="AE368" s="533"/>
      <c r="AF368" s="533"/>
      <c r="AG368" s="533"/>
      <c r="AH368" s="533"/>
      <c r="AI368" s="533"/>
      <c r="AJ368" s="533"/>
      <c r="AK368" s="533"/>
      <c r="AL368" s="533"/>
      <c r="AM368" s="533"/>
      <c r="AN368" s="533"/>
      <c r="AO368" s="533"/>
    </row>
    <row r="369" spans="1:41" ht="12.95" customHeight="1" x14ac:dyDescent="0.2">
      <c r="A369" s="533"/>
      <c r="B369" s="533"/>
      <c r="C369" s="533"/>
      <c r="D369" s="594"/>
      <c r="E369" s="629"/>
      <c r="F369" s="630"/>
      <c r="G369" s="630"/>
      <c r="H369" s="629"/>
      <c r="I369" s="533"/>
      <c r="J369" s="533"/>
      <c r="K369" s="533"/>
      <c r="L369" s="532"/>
      <c r="M369" s="631"/>
      <c r="N369" s="533"/>
      <c r="O369" s="533"/>
      <c r="P369" s="533"/>
      <c r="Q369" s="533"/>
      <c r="R369" s="533"/>
      <c r="S369" s="533"/>
      <c r="T369" s="533"/>
      <c r="U369" s="533"/>
      <c r="V369" s="533"/>
      <c r="W369" s="533"/>
      <c r="X369" s="533"/>
      <c r="Y369" s="533"/>
      <c r="Z369" s="533"/>
      <c r="AA369" s="533"/>
      <c r="AB369" s="533"/>
      <c r="AC369" s="533"/>
      <c r="AD369" s="533"/>
      <c r="AE369" s="533"/>
      <c r="AF369" s="533"/>
      <c r="AG369" s="533"/>
      <c r="AH369" s="533"/>
      <c r="AI369" s="533"/>
      <c r="AJ369" s="533"/>
      <c r="AK369" s="533"/>
      <c r="AL369" s="533"/>
      <c r="AM369" s="533"/>
      <c r="AN369" s="533"/>
      <c r="AO369" s="533"/>
    </row>
    <row r="370" spans="1:41" ht="12.95" customHeight="1" x14ac:dyDescent="0.2">
      <c r="A370" s="533"/>
      <c r="B370" s="533"/>
      <c r="C370" s="533"/>
      <c r="D370" s="594"/>
      <c r="E370" s="629"/>
      <c r="F370" s="630"/>
      <c r="G370" s="630"/>
      <c r="H370" s="629"/>
      <c r="I370" s="533"/>
      <c r="J370" s="533"/>
      <c r="K370" s="533"/>
      <c r="L370" s="532"/>
      <c r="M370" s="631"/>
      <c r="N370" s="533"/>
      <c r="O370" s="533"/>
      <c r="P370" s="533"/>
      <c r="Q370" s="533"/>
      <c r="R370" s="533"/>
      <c r="S370" s="533"/>
      <c r="T370" s="533"/>
      <c r="U370" s="533"/>
      <c r="V370" s="533"/>
      <c r="W370" s="533"/>
      <c r="X370" s="533"/>
      <c r="Y370" s="533"/>
      <c r="Z370" s="533"/>
      <c r="AA370" s="533"/>
      <c r="AB370" s="533"/>
      <c r="AC370" s="533"/>
      <c r="AD370" s="533"/>
      <c r="AE370" s="533"/>
      <c r="AF370" s="533"/>
      <c r="AG370" s="533"/>
      <c r="AH370" s="533"/>
      <c r="AI370" s="533"/>
      <c r="AJ370" s="533"/>
      <c r="AK370" s="533"/>
      <c r="AL370" s="533"/>
      <c r="AM370" s="533"/>
      <c r="AN370" s="533"/>
      <c r="AO370" s="533"/>
    </row>
    <row r="371" spans="1:41" ht="12.95" customHeight="1" x14ac:dyDescent="0.2">
      <c r="A371" s="533"/>
      <c r="B371" s="533"/>
      <c r="C371" s="533"/>
      <c r="D371" s="594"/>
      <c r="E371" s="629"/>
      <c r="F371" s="630"/>
      <c r="G371" s="630"/>
      <c r="H371" s="629"/>
      <c r="I371" s="533"/>
      <c r="J371" s="533"/>
      <c r="K371" s="533"/>
      <c r="L371" s="532"/>
      <c r="M371" s="631"/>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row>
    <row r="372" spans="1:41" ht="12.95" customHeight="1" x14ac:dyDescent="0.2">
      <c r="A372" s="533"/>
      <c r="B372" s="533"/>
      <c r="C372" s="533"/>
      <c r="D372" s="594"/>
      <c r="E372" s="629"/>
      <c r="F372" s="630"/>
      <c r="G372" s="630"/>
      <c r="H372" s="629"/>
      <c r="I372" s="533"/>
      <c r="J372" s="533"/>
      <c r="K372" s="533"/>
      <c r="L372" s="532"/>
      <c r="M372" s="631"/>
      <c r="N372" s="533"/>
      <c r="O372" s="533"/>
      <c r="P372" s="533"/>
      <c r="Q372" s="533"/>
      <c r="R372" s="533"/>
      <c r="S372" s="533"/>
      <c r="T372" s="533"/>
      <c r="U372" s="533"/>
      <c r="V372" s="533"/>
      <c r="W372" s="533"/>
      <c r="X372" s="533"/>
      <c r="Y372" s="533"/>
      <c r="Z372" s="533"/>
      <c r="AA372" s="533"/>
      <c r="AB372" s="533"/>
      <c r="AC372" s="533"/>
      <c r="AD372" s="533"/>
      <c r="AE372" s="533"/>
      <c r="AF372" s="533"/>
      <c r="AG372" s="533"/>
      <c r="AH372" s="533"/>
      <c r="AI372" s="533"/>
      <c r="AJ372" s="533"/>
      <c r="AK372" s="533"/>
      <c r="AL372" s="533"/>
      <c r="AM372" s="533"/>
      <c r="AN372" s="533"/>
      <c r="AO372" s="533"/>
    </row>
    <row r="373" spans="1:41" ht="12.95" customHeight="1" x14ac:dyDescent="0.2">
      <c r="A373" s="533"/>
      <c r="B373" s="533"/>
      <c r="C373" s="533"/>
      <c r="D373" s="594"/>
      <c r="E373" s="629"/>
      <c r="F373" s="630"/>
      <c r="G373" s="630"/>
      <c r="H373" s="629"/>
      <c r="I373" s="533"/>
      <c r="J373" s="533"/>
      <c r="K373" s="533"/>
      <c r="L373" s="532"/>
      <c r="M373" s="631"/>
      <c r="N373" s="533"/>
      <c r="O373" s="533"/>
      <c r="P373" s="533"/>
      <c r="Q373" s="533"/>
      <c r="R373" s="533"/>
      <c r="S373" s="533"/>
      <c r="T373" s="533"/>
      <c r="U373" s="533"/>
      <c r="V373" s="533"/>
      <c r="W373" s="533"/>
      <c r="X373" s="533"/>
      <c r="Y373" s="533"/>
      <c r="Z373" s="533"/>
      <c r="AA373" s="533"/>
      <c r="AB373" s="533"/>
      <c r="AC373" s="533"/>
      <c r="AD373" s="533"/>
      <c r="AE373" s="533"/>
      <c r="AF373" s="533"/>
      <c r="AG373" s="533"/>
      <c r="AH373" s="533"/>
      <c r="AI373" s="533"/>
      <c r="AJ373" s="533"/>
      <c r="AK373" s="533"/>
      <c r="AL373" s="533"/>
      <c r="AM373" s="533"/>
      <c r="AN373" s="533"/>
      <c r="AO373" s="533"/>
    </row>
    <row r="374" spans="1:41" ht="12.95" customHeight="1" x14ac:dyDescent="0.2">
      <c r="A374" s="533"/>
      <c r="B374" s="533"/>
      <c r="C374" s="533"/>
      <c r="D374" s="594"/>
      <c r="E374" s="629"/>
      <c r="F374" s="630"/>
      <c r="G374" s="630"/>
      <c r="H374" s="629"/>
      <c r="I374" s="533"/>
      <c r="J374" s="533"/>
      <c r="K374" s="533"/>
      <c r="L374" s="532"/>
      <c r="M374" s="631"/>
      <c r="N374" s="533"/>
      <c r="O374" s="533"/>
      <c r="P374" s="533"/>
      <c r="Q374" s="533"/>
      <c r="R374" s="533"/>
      <c r="S374" s="533"/>
      <c r="T374" s="533"/>
      <c r="U374" s="533"/>
      <c r="V374" s="533"/>
      <c r="W374" s="533"/>
      <c r="X374" s="533"/>
      <c r="Y374" s="533"/>
      <c r="Z374" s="533"/>
      <c r="AA374" s="533"/>
      <c r="AB374" s="533"/>
      <c r="AC374" s="533"/>
      <c r="AD374" s="533"/>
      <c r="AE374" s="533"/>
      <c r="AF374" s="533"/>
      <c r="AG374" s="533"/>
      <c r="AH374" s="533"/>
      <c r="AI374" s="533"/>
      <c r="AJ374" s="533"/>
      <c r="AK374" s="533"/>
      <c r="AL374" s="533"/>
      <c r="AM374" s="533"/>
      <c r="AN374" s="533"/>
      <c r="AO374" s="533"/>
    </row>
    <row r="375" spans="1:41" ht="12.95" customHeight="1" x14ac:dyDescent="0.2">
      <c r="A375" s="533"/>
      <c r="B375" s="533"/>
      <c r="C375" s="533"/>
      <c r="D375" s="594"/>
      <c r="E375" s="629"/>
      <c r="F375" s="630"/>
      <c r="G375" s="630"/>
      <c r="H375" s="629"/>
      <c r="I375" s="533"/>
      <c r="J375" s="533"/>
      <c r="K375" s="533"/>
      <c r="L375" s="532"/>
      <c r="M375" s="631"/>
      <c r="N375" s="533"/>
      <c r="O375" s="533"/>
      <c r="P375" s="533"/>
      <c r="Q375" s="533"/>
      <c r="R375" s="533"/>
      <c r="S375" s="533"/>
      <c r="T375" s="533"/>
      <c r="U375" s="533"/>
      <c r="V375" s="533"/>
      <c r="W375" s="533"/>
      <c r="X375" s="533"/>
      <c r="Y375" s="533"/>
      <c r="Z375" s="533"/>
      <c r="AA375" s="533"/>
      <c r="AB375" s="533"/>
      <c r="AC375" s="533"/>
      <c r="AD375" s="533"/>
      <c r="AE375" s="533"/>
      <c r="AF375" s="533"/>
      <c r="AG375" s="533"/>
      <c r="AH375" s="533"/>
      <c r="AI375" s="533"/>
      <c r="AJ375" s="533"/>
      <c r="AK375" s="533"/>
      <c r="AL375" s="533"/>
      <c r="AM375" s="533"/>
      <c r="AN375" s="533"/>
      <c r="AO375" s="533"/>
    </row>
    <row r="376" spans="1:41" ht="12.95" customHeight="1" x14ac:dyDescent="0.2">
      <c r="A376" s="533"/>
      <c r="B376" s="533"/>
      <c r="C376" s="533"/>
      <c r="D376" s="594"/>
      <c r="E376" s="629"/>
      <c r="F376" s="630"/>
      <c r="G376" s="630"/>
      <c r="H376" s="629"/>
      <c r="I376" s="533"/>
      <c r="J376" s="533"/>
      <c r="K376" s="533"/>
      <c r="L376" s="532"/>
      <c r="M376" s="631"/>
      <c r="N376" s="533"/>
      <c r="O376" s="533"/>
      <c r="P376" s="533"/>
      <c r="Q376" s="533"/>
      <c r="R376" s="533"/>
      <c r="S376" s="533"/>
      <c r="T376" s="533"/>
      <c r="U376" s="533"/>
      <c r="V376" s="533"/>
      <c r="W376" s="533"/>
      <c r="X376" s="533"/>
      <c r="Y376" s="533"/>
      <c r="Z376" s="533"/>
      <c r="AA376" s="533"/>
      <c r="AB376" s="533"/>
      <c r="AC376" s="533"/>
      <c r="AD376" s="533"/>
      <c r="AE376" s="533"/>
      <c r="AF376" s="533"/>
      <c r="AG376" s="533"/>
      <c r="AH376" s="533"/>
      <c r="AI376" s="533"/>
      <c r="AJ376" s="533"/>
      <c r="AK376" s="533"/>
      <c r="AL376" s="533"/>
      <c r="AM376" s="533"/>
      <c r="AN376" s="533"/>
      <c r="AO376" s="533"/>
    </row>
    <row r="377" spans="1:41" ht="12.95" customHeight="1" x14ac:dyDescent="0.2">
      <c r="A377" s="533"/>
      <c r="B377" s="533"/>
      <c r="C377" s="533"/>
      <c r="D377" s="594"/>
      <c r="E377" s="629"/>
      <c r="F377" s="630"/>
      <c r="G377" s="630"/>
      <c r="H377" s="629"/>
      <c r="I377" s="533"/>
      <c r="J377" s="533"/>
      <c r="K377" s="533"/>
      <c r="L377" s="532"/>
      <c r="M377" s="631"/>
      <c r="N377" s="533"/>
      <c r="O377" s="533"/>
      <c r="P377" s="533"/>
      <c r="Q377" s="533"/>
      <c r="R377" s="533"/>
      <c r="S377" s="533"/>
      <c r="T377" s="533"/>
      <c r="U377" s="533"/>
      <c r="V377" s="533"/>
      <c r="W377" s="533"/>
      <c r="X377" s="533"/>
      <c r="Y377" s="533"/>
      <c r="Z377" s="533"/>
      <c r="AA377" s="533"/>
      <c r="AB377" s="533"/>
      <c r="AC377" s="533"/>
      <c r="AD377" s="533"/>
      <c r="AE377" s="533"/>
      <c r="AF377" s="533"/>
      <c r="AG377" s="533"/>
      <c r="AH377" s="533"/>
      <c r="AI377" s="533"/>
      <c r="AJ377" s="533"/>
      <c r="AK377" s="533"/>
      <c r="AL377" s="533"/>
      <c r="AM377" s="533"/>
      <c r="AN377" s="533"/>
      <c r="AO377" s="533"/>
    </row>
    <row r="378" spans="1:41" ht="12.95" customHeight="1" x14ac:dyDescent="0.2">
      <c r="A378" s="533"/>
      <c r="B378" s="533"/>
      <c r="C378" s="533"/>
      <c r="D378" s="594"/>
      <c r="E378" s="629"/>
      <c r="F378" s="630"/>
      <c r="G378" s="630"/>
      <c r="H378" s="629"/>
      <c r="I378" s="533"/>
      <c r="J378" s="533"/>
      <c r="K378" s="533"/>
      <c r="L378" s="532"/>
      <c r="M378" s="631"/>
      <c r="N378" s="533"/>
      <c r="O378" s="533"/>
      <c r="P378" s="533"/>
      <c r="Q378" s="533"/>
      <c r="R378" s="533"/>
      <c r="S378" s="533"/>
      <c r="T378" s="533"/>
      <c r="U378" s="533"/>
      <c r="V378" s="533"/>
      <c r="W378" s="533"/>
      <c r="X378" s="533"/>
      <c r="Y378" s="533"/>
      <c r="Z378" s="533"/>
      <c r="AA378" s="533"/>
      <c r="AB378" s="533"/>
      <c r="AC378" s="533"/>
      <c r="AD378" s="533"/>
      <c r="AE378" s="533"/>
      <c r="AF378" s="533"/>
      <c r="AG378" s="533"/>
      <c r="AH378" s="533"/>
      <c r="AI378" s="533"/>
      <c r="AJ378" s="533"/>
      <c r="AK378" s="533"/>
      <c r="AL378" s="533"/>
      <c r="AM378" s="533"/>
      <c r="AN378" s="533"/>
      <c r="AO378" s="533"/>
    </row>
    <row r="379" spans="1:41" ht="12.95" customHeight="1" x14ac:dyDescent="0.2">
      <c r="A379" s="533"/>
      <c r="B379" s="533"/>
      <c r="C379" s="533"/>
      <c r="D379" s="594"/>
      <c r="E379" s="629"/>
      <c r="F379" s="630"/>
      <c r="G379" s="630"/>
      <c r="H379" s="629"/>
      <c r="I379" s="533"/>
      <c r="J379" s="533"/>
      <c r="K379" s="533"/>
      <c r="L379" s="532"/>
      <c r="M379" s="631"/>
      <c r="N379" s="533"/>
      <c r="O379" s="533"/>
      <c r="P379" s="533"/>
      <c r="Q379" s="533"/>
      <c r="R379" s="533"/>
      <c r="S379" s="533"/>
      <c r="T379" s="533"/>
      <c r="U379" s="533"/>
      <c r="V379" s="533"/>
      <c r="W379" s="533"/>
      <c r="X379" s="533"/>
      <c r="Y379" s="533"/>
      <c r="Z379" s="533"/>
      <c r="AA379" s="533"/>
      <c r="AB379" s="533"/>
      <c r="AC379" s="533"/>
      <c r="AD379" s="533"/>
      <c r="AE379" s="533"/>
      <c r="AF379" s="533"/>
      <c r="AG379" s="533"/>
      <c r="AH379" s="533"/>
      <c r="AI379" s="533"/>
      <c r="AJ379" s="533"/>
      <c r="AK379" s="533"/>
      <c r="AL379" s="533"/>
      <c r="AM379" s="533"/>
      <c r="AN379" s="533"/>
      <c r="AO379" s="533"/>
    </row>
    <row r="380" spans="1:41" ht="12.95" customHeight="1" x14ac:dyDescent="0.2">
      <c r="A380" s="533"/>
      <c r="B380" s="533"/>
      <c r="C380" s="533"/>
      <c r="D380" s="594"/>
      <c r="E380" s="629"/>
      <c r="F380" s="630"/>
      <c r="G380" s="630"/>
      <c r="H380" s="629"/>
      <c r="I380" s="533"/>
      <c r="J380" s="533"/>
      <c r="K380" s="533"/>
      <c r="L380" s="532"/>
      <c r="M380" s="631"/>
      <c r="N380" s="533"/>
      <c r="O380" s="533"/>
      <c r="P380" s="533"/>
      <c r="Q380" s="533"/>
      <c r="R380" s="533"/>
      <c r="S380" s="533"/>
      <c r="T380" s="533"/>
      <c r="U380" s="533"/>
      <c r="V380" s="533"/>
      <c r="W380" s="533"/>
      <c r="X380" s="533"/>
      <c r="Y380" s="533"/>
      <c r="Z380" s="533"/>
      <c r="AA380" s="533"/>
      <c r="AB380" s="533"/>
      <c r="AC380" s="533"/>
      <c r="AD380" s="533"/>
      <c r="AE380" s="533"/>
      <c r="AF380" s="533"/>
      <c r="AG380" s="533"/>
      <c r="AH380" s="533"/>
      <c r="AI380" s="533"/>
      <c r="AJ380" s="533"/>
      <c r="AK380" s="533"/>
      <c r="AL380" s="533"/>
      <c r="AM380" s="533"/>
      <c r="AN380" s="533"/>
      <c r="AO380" s="533"/>
    </row>
    <row r="381" spans="1:41" ht="12.95" customHeight="1" x14ac:dyDescent="0.2">
      <c r="A381" s="533"/>
      <c r="B381" s="533"/>
      <c r="C381" s="533"/>
      <c r="D381" s="594"/>
      <c r="E381" s="629"/>
      <c r="F381" s="630"/>
      <c r="G381" s="630"/>
      <c r="H381" s="629"/>
      <c r="I381" s="533"/>
      <c r="J381" s="533"/>
      <c r="K381" s="533"/>
      <c r="L381" s="532"/>
      <c r="M381" s="631"/>
      <c r="N381" s="533"/>
      <c r="O381" s="533"/>
      <c r="P381" s="533"/>
      <c r="Q381" s="533"/>
      <c r="R381" s="533"/>
      <c r="S381" s="533"/>
      <c r="T381" s="533"/>
      <c r="U381" s="533"/>
      <c r="V381" s="533"/>
      <c r="W381" s="533"/>
      <c r="X381" s="533"/>
      <c r="Y381" s="533"/>
      <c r="Z381" s="533"/>
      <c r="AA381" s="533"/>
      <c r="AB381" s="533"/>
      <c r="AC381" s="533"/>
      <c r="AD381" s="533"/>
      <c r="AE381" s="533"/>
      <c r="AF381" s="533"/>
      <c r="AG381" s="533"/>
      <c r="AH381" s="533"/>
      <c r="AI381" s="533"/>
      <c r="AJ381" s="533"/>
      <c r="AK381" s="533"/>
      <c r="AL381" s="533"/>
      <c r="AM381" s="533"/>
      <c r="AN381" s="533"/>
      <c r="AO381" s="533"/>
    </row>
    <row r="382" spans="1:41" ht="12.95" customHeight="1" x14ac:dyDescent="0.2">
      <c r="A382" s="533"/>
      <c r="B382" s="533"/>
      <c r="C382" s="533"/>
      <c r="D382" s="594"/>
      <c r="E382" s="629"/>
      <c r="F382" s="630"/>
      <c r="G382" s="630"/>
      <c r="H382" s="629"/>
      <c r="I382" s="533"/>
      <c r="J382" s="533"/>
      <c r="K382" s="533"/>
      <c r="L382" s="532"/>
      <c r="M382" s="631"/>
      <c r="N382" s="533"/>
      <c r="O382" s="533"/>
      <c r="P382" s="533"/>
      <c r="Q382" s="533"/>
      <c r="R382" s="533"/>
      <c r="S382" s="533"/>
      <c r="T382" s="533"/>
      <c r="U382" s="533"/>
      <c r="V382" s="533"/>
      <c r="W382" s="533"/>
      <c r="X382" s="533"/>
      <c r="Y382" s="533"/>
      <c r="Z382" s="533"/>
      <c r="AA382" s="533"/>
      <c r="AB382" s="533"/>
      <c r="AC382" s="533"/>
      <c r="AD382" s="533"/>
      <c r="AE382" s="533"/>
      <c r="AF382" s="533"/>
      <c r="AG382" s="533"/>
      <c r="AH382" s="533"/>
      <c r="AI382" s="533"/>
      <c r="AJ382" s="533"/>
      <c r="AK382" s="533"/>
      <c r="AL382" s="533"/>
      <c r="AM382" s="533"/>
      <c r="AN382" s="533"/>
      <c r="AO382" s="533"/>
    </row>
    <row r="383" spans="1:41" ht="12.95" customHeight="1" x14ac:dyDescent="0.2">
      <c r="A383" s="533"/>
      <c r="B383" s="533"/>
      <c r="C383" s="533"/>
      <c r="D383" s="594"/>
      <c r="E383" s="629"/>
      <c r="F383" s="630"/>
      <c r="G383" s="630"/>
      <c r="H383" s="629"/>
      <c r="I383" s="533"/>
      <c r="J383" s="533"/>
      <c r="K383" s="533"/>
      <c r="L383" s="532"/>
      <c r="M383" s="631"/>
      <c r="N383" s="533"/>
      <c r="O383" s="533"/>
      <c r="P383" s="533"/>
      <c r="Q383" s="533"/>
      <c r="R383" s="533"/>
      <c r="S383" s="533"/>
      <c r="T383" s="533"/>
      <c r="U383" s="533"/>
      <c r="V383" s="533"/>
      <c r="W383" s="533"/>
      <c r="X383" s="533"/>
      <c r="Y383" s="533"/>
      <c r="Z383" s="533"/>
      <c r="AA383" s="533"/>
      <c r="AB383" s="533"/>
      <c r="AC383" s="533"/>
      <c r="AD383" s="533"/>
      <c r="AE383" s="533"/>
      <c r="AF383" s="533"/>
      <c r="AG383" s="533"/>
      <c r="AH383" s="533"/>
      <c r="AI383" s="533"/>
      <c r="AJ383" s="533"/>
      <c r="AK383" s="533"/>
      <c r="AL383" s="533"/>
      <c r="AM383" s="533"/>
      <c r="AN383" s="533"/>
      <c r="AO383" s="533"/>
    </row>
    <row r="384" spans="1:41" ht="12.95" customHeight="1" x14ac:dyDescent="0.2">
      <c r="A384" s="533"/>
      <c r="B384" s="533"/>
      <c r="C384" s="533"/>
      <c r="D384" s="594"/>
      <c r="E384" s="629"/>
      <c r="F384" s="630"/>
      <c r="G384" s="630"/>
      <c r="H384" s="629"/>
      <c r="I384" s="533"/>
      <c r="J384" s="533"/>
      <c r="K384" s="533"/>
      <c r="L384" s="532"/>
      <c r="M384" s="631"/>
      <c r="N384" s="533"/>
      <c r="O384" s="533"/>
      <c r="P384" s="533"/>
      <c r="Q384" s="533"/>
      <c r="R384" s="533"/>
      <c r="S384" s="533"/>
      <c r="T384" s="533"/>
      <c r="U384" s="533"/>
      <c r="V384" s="533"/>
      <c r="W384" s="533"/>
      <c r="X384" s="533"/>
      <c r="Y384" s="533"/>
      <c r="Z384" s="533"/>
      <c r="AA384" s="533"/>
      <c r="AB384" s="533"/>
      <c r="AC384" s="533"/>
      <c r="AD384" s="533"/>
      <c r="AE384" s="533"/>
      <c r="AF384" s="533"/>
      <c r="AG384" s="533"/>
      <c r="AH384" s="533"/>
      <c r="AI384" s="533"/>
      <c r="AJ384" s="533"/>
      <c r="AK384" s="533"/>
      <c r="AL384" s="533"/>
      <c r="AM384" s="533"/>
      <c r="AN384" s="533"/>
      <c r="AO384" s="533"/>
    </row>
    <row r="385" spans="1:41" ht="12.95" customHeight="1" x14ac:dyDescent="0.2">
      <c r="A385" s="533"/>
      <c r="B385" s="533"/>
      <c r="C385" s="533"/>
      <c r="D385" s="594"/>
      <c r="E385" s="629"/>
      <c r="F385" s="630"/>
      <c r="G385" s="630"/>
      <c r="H385" s="629"/>
      <c r="I385" s="533"/>
      <c r="J385" s="533"/>
      <c r="K385" s="533"/>
      <c r="L385" s="532"/>
      <c r="M385" s="631"/>
      <c r="N385" s="533"/>
      <c r="O385" s="533"/>
      <c r="P385" s="533"/>
      <c r="Q385" s="533"/>
      <c r="R385" s="533"/>
      <c r="S385" s="533"/>
      <c r="T385" s="533"/>
      <c r="U385" s="533"/>
      <c r="V385" s="533"/>
      <c r="W385" s="533"/>
      <c r="X385" s="533"/>
      <c r="Y385" s="533"/>
      <c r="Z385" s="533"/>
      <c r="AA385" s="533"/>
      <c r="AB385" s="533"/>
      <c r="AC385" s="533"/>
      <c r="AD385" s="533"/>
      <c r="AE385" s="533"/>
      <c r="AF385" s="533"/>
      <c r="AG385" s="533"/>
      <c r="AH385" s="533"/>
      <c r="AI385" s="533"/>
      <c r="AJ385" s="533"/>
      <c r="AK385" s="533"/>
      <c r="AL385" s="533"/>
      <c r="AM385" s="533"/>
      <c r="AN385" s="533"/>
      <c r="AO385" s="533"/>
    </row>
    <row r="386" spans="1:41" ht="12.95" customHeight="1" x14ac:dyDescent="0.2">
      <c r="A386" s="533"/>
      <c r="B386" s="533"/>
      <c r="C386" s="533"/>
      <c r="D386" s="594"/>
      <c r="E386" s="629"/>
      <c r="F386" s="630"/>
      <c r="G386" s="630"/>
      <c r="H386" s="629"/>
      <c r="I386" s="533"/>
      <c r="J386" s="533"/>
      <c r="K386" s="533"/>
      <c r="L386" s="532"/>
      <c r="M386" s="631"/>
      <c r="N386" s="533"/>
      <c r="O386" s="533"/>
      <c r="P386" s="533"/>
      <c r="Q386" s="533"/>
      <c r="R386" s="533"/>
      <c r="S386" s="533"/>
      <c r="T386" s="533"/>
      <c r="U386" s="533"/>
      <c r="V386" s="533"/>
      <c r="W386" s="533"/>
      <c r="X386" s="533"/>
      <c r="Y386" s="533"/>
      <c r="Z386" s="533"/>
      <c r="AA386" s="533"/>
      <c r="AB386" s="533"/>
      <c r="AC386" s="533"/>
      <c r="AD386" s="533"/>
      <c r="AE386" s="533"/>
      <c r="AF386" s="533"/>
      <c r="AG386" s="533"/>
      <c r="AH386" s="533"/>
      <c r="AI386" s="533"/>
      <c r="AJ386" s="533"/>
      <c r="AK386" s="533"/>
      <c r="AL386" s="533"/>
      <c r="AM386" s="533"/>
      <c r="AN386" s="533"/>
      <c r="AO386" s="533"/>
    </row>
    <row r="387" spans="1:41" ht="12.95" customHeight="1" x14ac:dyDescent="0.2">
      <c r="A387" s="533"/>
      <c r="B387" s="533"/>
      <c r="C387" s="533"/>
      <c r="D387" s="594"/>
      <c r="E387" s="629"/>
      <c r="F387" s="630"/>
      <c r="G387" s="630"/>
      <c r="H387" s="629"/>
      <c r="I387" s="533"/>
      <c r="J387" s="533"/>
      <c r="K387" s="533"/>
      <c r="L387" s="532"/>
      <c r="M387" s="631"/>
      <c r="N387" s="533"/>
      <c r="O387" s="533"/>
      <c r="P387" s="533"/>
      <c r="Q387" s="533"/>
      <c r="R387" s="533"/>
      <c r="S387" s="533"/>
      <c r="T387" s="533"/>
      <c r="U387" s="533"/>
      <c r="V387" s="533"/>
      <c r="W387" s="533"/>
      <c r="X387" s="533"/>
      <c r="Y387" s="533"/>
      <c r="Z387" s="533"/>
      <c r="AA387" s="533"/>
      <c r="AB387" s="533"/>
      <c r="AC387" s="533"/>
      <c r="AD387" s="533"/>
      <c r="AE387" s="533"/>
      <c r="AF387" s="533"/>
      <c r="AG387" s="533"/>
      <c r="AH387" s="533"/>
      <c r="AI387" s="533"/>
      <c r="AJ387" s="533"/>
      <c r="AK387" s="533"/>
      <c r="AL387" s="533"/>
      <c r="AM387" s="533"/>
      <c r="AN387" s="533"/>
      <c r="AO387" s="533"/>
    </row>
    <row r="388" spans="1:41" ht="12.95" customHeight="1" x14ac:dyDescent="0.2">
      <c r="A388" s="533"/>
      <c r="B388" s="533"/>
      <c r="C388" s="533"/>
      <c r="D388" s="594"/>
      <c r="E388" s="629"/>
      <c r="F388" s="630"/>
      <c r="G388" s="630"/>
      <c r="H388" s="629"/>
      <c r="I388" s="533"/>
      <c r="J388" s="533"/>
      <c r="K388" s="533"/>
      <c r="L388" s="532"/>
      <c r="M388" s="631"/>
      <c r="N388" s="533"/>
      <c r="O388" s="533"/>
      <c r="P388" s="533"/>
      <c r="Q388" s="533"/>
      <c r="R388" s="533"/>
      <c r="S388" s="533"/>
      <c r="T388" s="533"/>
      <c r="U388" s="533"/>
      <c r="V388" s="533"/>
      <c r="W388" s="533"/>
      <c r="X388" s="533"/>
      <c r="Y388" s="533"/>
      <c r="Z388" s="533"/>
      <c r="AA388" s="533"/>
      <c r="AB388" s="533"/>
      <c r="AC388" s="533"/>
      <c r="AD388" s="533"/>
      <c r="AE388" s="533"/>
      <c r="AF388" s="533"/>
      <c r="AG388" s="533"/>
      <c r="AH388" s="533"/>
      <c r="AI388" s="533"/>
      <c r="AJ388" s="533"/>
      <c r="AK388" s="533"/>
      <c r="AL388" s="533"/>
      <c r="AM388" s="533"/>
      <c r="AN388" s="533"/>
      <c r="AO388" s="533"/>
    </row>
    <row r="389" spans="1:41" ht="12.95" customHeight="1" x14ac:dyDescent="0.2">
      <c r="A389" s="533"/>
      <c r="B389" s="533"/>
      <c r="C389" s="533"/>
      <c r="D389" s="594"/>
      <c r="E389" s="629"/>
      <c r="F389" s="630"/>
      <c r="G389" s="630"/>
      <c r="H389" s="629"/>
      <c r="I389" s="533"/>
      <c r="J389" s="533"/>
      <c r="K389" s="533"/>
      <c r="L389" s="532"/>
      <c r="M389" s="631"/>
      <c r="N389" s="533"/>
      <c r="O389" s="533"/>
      <c r="P389" s="533"/>
      <c r="Q389" s="533"/>
      <c r="R389" s="533"/>
      <c r="S389" s="533"/>
      <c r="T389" s="533"/>
      <c r="U389" s="533"/>
      <c r="V389" s="533"/>
      <c r="W389" s="533"/>
      <c r="X389" s="533"/>
      <c r="Y389" s="533"/>
      <c r="Z389" s="533"/>
      <c r="AA389" s="533"/>
      <c r="AB389" s="533"/>
      <c r="AC389" s="533"/>
      <c r="AD389" s="533"/>
      <c r="AE389" s="533"/>
      <c r="AF389" s="533"/>
      <c r="AG389" s="533"/>
      <c r="AH389" s="533"/>
      <c r="AI389" s="533"/>
      <c r="AJ389" s="533"/>
      <c r="AK389" s="533"/>
      <c r="AL389" s="533"/>
      <c r="AM389" s="533"/>
      <c r="AN389" s="533"/>
      <c r="AO389" s="533"/>
    </row>
    <row r="390" spans="1:41" ht="12.95" customHeight="1" x14ac:dyDescent="0.2">
      <c r="A390" s="533"/>
      <c r="B390" s="533"/>
      <c r="C390" s="533"/>
      <c r="D390" s="594"/>
      <c r="E390" s="629"/>
      <c r="F390" s="630"/>
      <c r="G390" s="630"/>
      <c r="H390" s="629"/>
      <c r="I390" s="533"/>
      <c r="J390" s="533"/>
      <c r="K390" s="533"/>
      <c r="L390" s="532"/>
      <c r="M390" s="631"/>
      <c r="N390" s="533"/>
      <c r="O390" s="533"/>
      <c r="P390" s="533"/>
      <c r="Q390" s="533"/>
      <c r="R390" s="533"/>
      <c r="S390" s="533"/>
      <c r="T390" s="533"/>
      <c r="U390" s="533"/>
      <c r="V390" s="533"/>
      <c r="W390" s="533"/>
      <c r="X390" s="533"/>
      <c r="Y390" s="533"/>
      <c r="Z390" s="533"/>
      <c r="AA390" s="533"/>
      <c r="AB390" s="533"/>
      <c r="AC390" s="533"/>
      <c r="AD390" s="533"/>
      <c r="AE390" s="533"/>
      <c r="AF390" s="533"/>
      <c r="AG390" s="533"/>
      <c r="AH390" s="533"/>
      <c r="AI390" s="533"/>
      <c r="AJ390" s="533"/>
      <c r="AK390" s="533"/>
      <c r="AL390" s="533"/>
      <c r="AM390" s="533"/>
      <c r="AN390" s="533"/>
      <c r="AO390" s="533"/>
    </row>
    <row r="391" spans="1:41" ht="12.95" customHeight="1" x14ac:dyDescent="0.2">
      <c r="A391" s="533"/>
      <c r="B391" s="533"/>
      <c r="C391" s="533"/>
      <c r="D391" s="594"/>
      <c r="E391" s="629"/>
      <c r="F391" s="630"/>
      <c r="G391" s="630"/>
      <c r="H391" s="629"/>
      <c r="I391" s="533"/>
      <c r="J391" s="533"/>
      <c r="K391" s="533"/>
      <c r="L391" s="532"/>
      <c r="M391" s="631"/>
      <c r="N391" s="533"/>
      <c r="O391" s="533"/>
      <c r="P391" s="533"/>
      <c r="Q391" s="533"/>
      <c r="R391" s="533"/>
      <c r="S391" s="533"/>
      <c r="T391" s="533"/>
      <c r="U391" s="533"/>
      <c r="V391" s="533"/>
      <c r="W391" s="533"/>
      <c r="X391" s="533"/>
      <c r="Y391" s="533"/>
      <c r="Z391" s="533"/>
      <c r="AA391" s="533"/>
      <c r="AB391" s="533"/>
      <c r="AC391" s="533"/>
      <c r="AD391" s="533"/>
      <c r="AE391" s="533"/>
      <c r="AF391" s="533"/>
      <c r="AG391" s="533"/>
      <c r="AH391" s="533"/>
      <c r="AI391" s="533"/>
      <c r="AJ391" s="533"/>
      <c r="AK391" s="533"/>
      <c r="AL391" s="533"/>
      <c r="AM391" s="533"/>
      <c r="AN391" s="533"/>
      <c r="AO391" s="533"/>
    </row>
    <row r="392" spans="1:41" ht="12.95" customHeight="1" x14ac:dyDescent="0.2">
      <c r="A392" s="533"/>
      <c r="B392" s="533"/>
      <c r="C392" s="533"/>
      <c r="D392" s="594"/>
      <c r="E392" s="629"/>
      <c r="F392" s="630"/>
      <c r="G392" s="630"/>
      <c r="H392" s="629"/>
      <c r="I392" s="533"/>
      <c r="J392" s="533"/>
      <c r="K392" s="533"/>
      <c r="L392" s="532"/>
      <c r="M392" s="631"/>
      <c r="N392" s="533"/>
      <c r="O392" s="533"/>
      <c r="P392" s="533"/>
      <c r="Q392" s="533"/>
      <c r="R392" s="533"/>
      <c r="S392" s="533"/>
      <c r="T392" s="533"/>
      <c r="U392" s="533"/>
      <c r="V392" s="533"/>
      <c r="W392" s="533"/>
      <c r="X392" s="533"/>
      <c r="Y392" s="533"/>
      <c r="Z392" s="533"/>
      <c r="AA392" s="533"/>
      <c r="AB392" s="533"/>
      <c r="AC392" s="533"/>
      <c r="AD392" s="533"/>
      <c r="AE392" s="533"/>
      <c r="AF392" s="533"/>
      <c r="AG392" s="533"/>
      <c r="AH392" s="533"/>
      <c r="AI392" s="533"/>
      <c r="AJ392" s="533"/>
      <c r="AK392" s="533"/>
      <c r="AL392" s="533"/>
      <c r="AM392" s="533"/>
      <c r="AN392" s="533"/>
      <c r="AO392" s="533"/>
    </row>
    <row r="393" spans="1:41" ht="12.95" customHeight="1" x14ac:dyDescent="0.2">
      <c r="A393" s="533"/>
      <c r="B393" s="533"/>
      <c r="C393" s="533"/>
      <c r="D393" s="594"/>
      <c r="E393" s="629"/>
      <c r="F393" s="630"/>
      <c r="G393" s="630"/>
      <c r="H393" s="629"/>
      <c r="I393" s="533"/>
      <c r="J393" s="533"/>
      <c r="K393" s="533"/>
      <c r="L393" s="532"/>
      <c r="M393" s="631"/>
      <c r="N393" s="533"/>
      <c r="O393" s="533"/>
      <c r="P393" s="533"/>
      <c r="Q393" s="533"/>
      <c r="R393" s="533"/>
      <c r="S393" s="533"/>
      <c r="T393" s="533"/>
      <c r="U393" s="533"/>
      <c r="V393" s="533"/>
      <c r="W393" s="533"/>
      <c r="X393" s="533"/>
      <c r="Y393" s="533"/>
      <c r="Z393" s="533"/>
      <c r="AA393" s="533"/>
      <c r="AB393" s="533"/>
      <c r="AC393" s="533"/>
      <c r="AD393" s="533"/>
      <c r="AE393" s="533"/>
      <c r="AF393" s="533"/>
      <c r="AG393" s="533"/>
      <c r="AH393" s="533"/>
      <c r="AI393" s="533"/>
      <c r="AJ393" s="533"/>
      <c r="AK393" s="533"/>
      <c r="AL393" s="533"/>
      <c r="AM393" s="533"/>
      <c r="AN393" s="533"/>
      <c r="AO393" s="533"/>
    </row>
    <row r="394" spans="1:41" ht="12.95" customHeight="1" x14ac:dyDescent="0.2">
      <c r="A394" s="533"/>
      <c r="B394" s="533"/>
      <c r="C394" s="533"/>
      <c r="D394" s="594"/>
      <c r="E394" s="629"/>
      <c r="F394" s="630"/>
      <c r="G394" s="630"/>
      <c r="H394" s="629"/>
      <c r="I394" s="533"/>
      <c r="J394" s="533"/>
      <c r="K394" s="533"/>
      <c r="L394" s="532"/>
      <c r="M394" s="631"/>
      <c r="N394" s="533"/>
      <c r="O394" s="533"/>
      <c r="P394" s="533"/>
      <c r="Q394" s="533"/>
      <c r="R394" s="533"/>
      <c r="S394" s="533"/>
      <c r="T394" s="533"/>
      <c r="U394" s="533"/>
      <c r="V394" s="533"/>
      <c r="W394" s="533"/>
      <c r="X394" s="533"/>
      <c r="Y394" s="533"/>
      <c r="Z394" s="533"/>
      <c r="AA394" s="533"/>
      <c r="AB394" s="533"/>
      <c r="AC394" s="533"/>
      <c r="AD394" s="533"/>
      <c r="AE394" s="533"/>
      <c r="AF394" s="533"/>
      <c r="AG394" s="533"/>
      <c r="AH394" s="533"/>
      <c r="AI394" s="533"/>
      <c r="AJ394" s="533"/>
      <c r="AK394" s="533"/>
      <c r="AL394" s="533"/>
      <c r="AM394" s="533"/>
      <c r="AN394" s="533"/>
      <c r="AO394" s="533"/>
    </row>
    <row r="395" spans="1:41" ht="12.95" customHeight="1" x14ac:dyDescent="0.2">
      <c r="A395" s="533"/>
      <c r="B395" s="533"/>
      <c r="C395" s="533"/>
      <c r="D395" s="594"/>
      <c r="E395" s="629"/>
      <c r="F395" s="630"/>
      <c r="G395" s="630"/>
      <c r="H395" s="629"/>
      <c r="I395" s="533"/>
      <c r="J395" s="533"/>
      <c r="K395" s="533"/>
      <c r="L395" s="532"/>
      <c r="M395" s="631"/>
      <c r="N395" s="533"/>
      <c r="O395" s="533"/>
      <c r="P395" s="533"/>
      <c r="Q395" s="533"/>
      <c r="R395" s="533"/>
      <c r="S395" s="533"/>
      <c r="T395" s="533"/>
      <c r="U395" s="533"/>
      <c r="V395" s="533"/>
      <c r="W395" s="533"/>
      <c r="X395" s="533"/>
      <c r="Y395" s="533"/>
      <c r="Z395" s="533"/>
      <c r="AA395" s="533"/>
      <c r="AB395" s="533"/>
      <c r="AC395" s="533"/>
      <c r="AD395" s="533"/>
      <c r="AE395" s="533"/>
      <c r="AF395" s="533"/>
      <c r="AG395" s="533"/>
      <c r="AH395" s="533"/>
      <c r="AI395" s="533"/>
      <c r="AJ395" s="533"/>
      <c r="AK395" s="533"/>
      <c r="AL395" s="533"/>
      <c r="AM395" s="533"/>
      <c r="AN395" s="533"/>
      <c r="AO395" s="533"/>
    </row>
    <row r="396" spans="1:41" ht="12.95" customHeight="1" x14ac:dyDescent="0.2">
      <c r="A396" s="533"/>
      <c r="B396" s="533"/>
      <c r="C396" s="533"/>
      <c r="D396" s="594"/>
      <c r="E396" s="629"/>
      <c r="F396" s="630"/>
      <c r="G396" s="630"/>
      <c r="H396" s="629"/>
      <c r="I396" s="533"/>
      <c r="J396" s="533"/>
      <c r="K396" s="533"/>
      <c r="L396" s="532"/>
      <c r="M396" s="631"/>
      <c r="N396" s="533"/>
      <c r="O396" s="533"/>
      <c r="P396" s="533"/>
      <c r="Q396" s="533"/>
      <c r="R396" s="533"/>
      <c r="S396" s="533"/>
      <c r="T396" s="533"/>
      <c r="U396" s="533"/>
      <c r="V396" s="533"/>
      <c r="W396" s="533"/>
      <c r="X396" s="533"/>
      <c r="Y396" s="533"/>
      <c r="Z396" s="533"/>
      <c r="AA396" s="533"/>
      <c r="AB396" s="533"/>
      <c r="AC396" s="533"/>
      <c r="AD396" s="533"/>
      <c r="AE396" s="533"/>
      <c r="AF396" s="533"/>
      <c r="AG396" s="533"/>
      <c r="AH396" s="533"/>
      <c r="AI396" s="533"/>
      <c r="AJ396" s="533"/>
      <c r="AK396" s="533"/>
      <c r="AL396" s="533"/>
      <c r="AM396" s="533"/>
      <c r="AN396" s="533"/>
      <c r="AO396" s="533"/>
    </row>
    <row r="397" spans="1:41" ht="12.95" customHeight="1" x14ac:dyDescent="0.2">
      <c r="A397" s="533"/>
      <c r="B397" s="533"/>
      <c r="C397" s="533"/>
      <c r="D397" s="594"/>
      <c r="E397" s="629"/>
      <c r="F397" s="630"/>
      <c r="G397" s="630"/>
      <c r="H397" s="629"/>
      <c r="I397" s="533"/>
      <c r="J397" s="533"/>
      <c r="K397" s="533"/>
      <c r="L397" s="532"/>
      <c r="M397" s="631"/>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row>
    <row r="398" spans="1:41" ht="12.95" customHeight="1" x14ac:dyDescent="0.2">
      <c r="A398" s="533"/>
      <c r="B398" s="533"/>
      <c r="C398" s="533"/>
      <c r="D398" s="594"/>
      <c r="E398" s="629"/>
      <c r="F398" s="630"/>
      <c r="G398" s="630"/>
      <c r="H398" s="629"/>
      <c r="I398" s="533"/>
      <c r="J398" s="533"/>
      <c r="K398" s="533"/>
      <c r="L398" s="532"/>
      <c r="M398" s="631"/>
      <c r="N398" s="533"/>
      <c r="O398" s="533"/>
      <c r="P398" s="533"/>
      <c r="Q398" s="533"/>
      <c r="R398" s="533"/>
      <c r="S398" s="533"/>
      <c r="T398" s="533"/>
      <c r="U398" s="533"/>
      <c r="V398" s="533"/>
      <c r="W398" s="533"/>
      <c r="X398" s="533"/>
      <c r="Y398" s="533"/>
      <c r="Z398" s="533"/>
      <c r="AA398" s="533"/>
      <c r="AB398" s="533"/>
      <c r="AC398" s="533"/>
      <c r="AD398" s="533"/>
      <c r="AE398" s="533"/>
      <c r="AF398" s="533"/>
      <c r="AG398" s="533"/>
      <c r="AH398" s="533"/>
      <c r="AI398" s="533"/>
      <c r="AJ398" s="533"/>
      <c r="AK398" s="533"/>
      <c r="AL398" s="533"/>
      <c r="AM398" s="533"/>
      <c r="AN398" s="533"/>
      <c r="AO398" s="533"/>
    </row>
    <row r="399" spans="1:41" ht="12.95" customHeight="1" x14ac:dyDescent="0.2">
      <c r="A399" s="533"/>
      <c r="B399" s="533"/>
      <c r="C399" s="533"/>
      <c r="D399" s="594"/>
      <c r="E399" s="629"/>
      <c r="F399" s="630"/>
      <c r="G399" s="630"/>
      <c r="H399" s="629"/>
      <c r="I399" s="533"/>
      <c r="J399" s="533"/>
      <c r="K399" s="533"/>
      <c r="L399" s="532"/>
      <c r="M399" s="631"/>
      <c r="N399" s="533"/>
      <c r="O399" s="533"/>
      <c r="P399" s="533"/>
      <c r="Q399" s="533"/>
      <c r="R399" s="533"/>
      <c r="S399" s="533"/>
      <c r="T399" s="533"/>
      <c r="U399" s="533"/>
      <c r="V399" s="533"/>
      <c r="W399" s="533"/>
      <c r="X399" s="533"/>
      <c r="Y399" s="533"/>
      <c r="Z399" s="533"/>
      <c r="AA399" s="533"/>
      <c r="AB399" s="533"/>
      <c r="AC399" s="533"/>
      <c r="AD399" s="533"/>
      <c r="AE399" s="533"/>
      <c r="AF399" s="533"/>
      <c r="AG399" s="533"/>
      <c r="AH399" s="533"/>
      <c r="AI399" s="533"/>
      <c r="AJ399" s="533"/>
      <c r="AK399" s="533"/>
      <c r="AL399" s="533"/>
      <c r="AM399" s="533"/>
      <c r="AN399" s="533"/>
      <c r="AO399" s="533"/>
    </row>
    <row r="400" spans="1:41" ht="12.95" customHeight="1" x14ac:dyDescent="0.2">
      <c r="A400" s="533"/>
      <c r="B400" s="533"/>
      <c r="C400" s="533"/>
      <c r="D400" s="594"/>
      <c r="E400" s="629"/>
      <c r="F400" s="630"/>
      <c r="G400" s="630"/>
      <c r="H400" s="629"/>
      <c r="I400" s="533"/>
      <c r="J400" s="533"/>
      <c r="K400" s="533"/>
      <c r="L400" s="532"/>
      <c r="M400" s="631"/>
      <c r="N400" s="533"/>
      <c r="O400" s="533"/>
      <c r="P400" s="533"/>
      <c r="Q400" s="533"/>
      <c r="R400" s="533"/>
      <c r="S400" s="533"/>
      <c r="T400" s="533"/>
      <c r="U400" s="533"/>
      <c r="V400" s="533"/>
      <c r="W400" s="533"/>
      <c r="X400" s="533"/>
      <c r="Y400" s="533"/>
      <c r="Z400" s="533"/>
      <c r="AA400" s="533"/>
      <c r="AB400" s="533"/>
      <c r="AC400" s="533"/>
      <c r="AD400" s="533"/>
      <c r="AE400" s="533"/>
      <c r="AF400" s="533"/>
      <c r="AG400" s="533"/>
      <c r="AH400" s="533"/>
      <c r="AI400" s="533"/>
      <c r="AJ400" s="533"/>
      <c r="AK400" s="533"/>
      <c r="AL400" s="533"/>
      <c r="AM400" s="533"/>
      <c r="AN400" s="533"/>
      <c r="AO400" s="533"/>
    </row>
    <row r="401" spans="1:41" ht="12.95" customHeight="1" x14ac:dyDescent="0.2">
      <c r="A401" s="533"/>
      <c r="B401" s="533"/>
      <c r="C401" s="533"/>
      <c r="D401" s="594"/>
      <c r="E401" s="629"/>
      <c r="F401" s="630"/>
      <c r="G401" s="630"/>
      <c r="H401" s="629"/>
      <c r="I401" s="533"/>
      <c r="J401" s="533"/>
      <c r="K401" s="533"/>
      <c r="L401" s="532"/>
      <c r="M401" s="631"/>
      <c r="N401" s="533"/>
      <c r="O401" s="533"/>
      <c r="P401" s="533"/>
      <c r="Q401" s="533"/>
      <c r="R401" s="533"/>
      <c r="S401" s="533"/>
      <c r="T401" s="533"/>
      <c r="U401" s="533"/>
      <c r="V401" s="533"/>
      <c r="W401" s="533"/>
      <c r="X401" s="533"/>
      <c r="Y401" s="533"/>
      <c r="Z401" s="533"/>
      <c r="AA401" s="533"/>
      <c r="AB401" s="533"/>
      <c r="AC401" s="533"/>
      <c r="AD401" s="533"/>
      <c r="AE401" s="533"/>
      <c r="AF401" s="533"/>
      <c r="AG401" s="533"/>
      <c r="AH401" s="533"/>
      <c r="AI401" s="533"/>
      <c r="AJ401" s="533"/>
      <c r="AK401" s="533"/>
      <c r="AL401" s="533"/>
      <c r="AM401" s="533"/>
      <c r="AN401" s="533"/>
      <c r="AO401" s="533"/>
    </row>
    <row r="402" spans="1:41" ht="12.95" customHeight="1" x14ac:dyDescent="0.2">
      <c r="A402" s="533"/>
      <c r="B402" s="533"/>
      <c r="C402" s="533"/>
      <c r="D402" s="594"/>
      <c r="E402" s="629"/>
      <c r="F402" s="630"/>
      <c r="G402" s="630"/>
      <c r="H402" s="629"/>
      <c r="I402" s="533"/>
      <c r="J402" s="533"/>
      <c r="K402" s="533"/>
      <c r="L402" s="532"/>
      <c r="M402" s="631"/>
      <c r="N402" s="533"/>
      <c r="O402" s="533"/>
      <c r="P402" s="533"/>
      <c r="Q402" s="533"/>
      <c r="R402" s="533"/>
      <c r="S402" s="533"/>
      <c r="T402" s="533"/>
      <c r="U402" s="533"/>
      <c r="V402" s="533"/>
      <c r="W402" s="533"/>
      <c r="X402" s="533"/>
      <c r="Y402" s="533"/>
      <c r="Z402" s="533"/>
      <c r="AA402" s="533"/>
      <c r="AB402" s="533"/>
      <c r="AC402" s="533"/>
      <c r="AD402" s="533"/>
      <c r="AE402" s="533"/>
      <c r="AF402" s="533"/>
      <c r="AG402" s="533"/>
      <c r="AH402" s="533"/>
      <c r="AI402" s="533"/>
      <c r="AJ402" s="533"/>
      <c r="AK402" s="533"/>
      <c r="AL402" s="533"/>
      <c r="AM402" s="533"/>
      <c r="AN402" s="533"/>
      <c r="AO402" s="533"/>
    </row>
    <row r="403" spans="1:41" ht="12.95" customHeight="1" x14ac:dyDescent="0.2">
      <c r="A403" s="533"/>
      <c r="B403" s="533"/>
      <c r="C403" s="533"/>
      <c r="D403" s="594"/>
      <c r="E403" s="629"/>
      <c r="F403" s="630"/>
      <c r="G403" s="630"/>
      <c r="H403" s="629"/>
      <c r="I403" s="533"/>
      <c r="J403" s="533"/>
      <c r="K403" s="533"/>
      <c r="L403" s="532"/>
      <c r="M403" s="631"/>
      <c r="N403" s="533"/>
      <c r="O403" s="533"/>
      <c r="P403" s="533"/>
      <c r="Q403" s="533"/>
      <c r="R403" s="533"/>
      <c r="S403" s="533"/>
      <c r="T403" s="533"/>
      <c r="U403" s="533"/>
      <c r="V403" s="533"/>
      <c r="W403" s="533"/>
      <c r="X403" s="533"/>
      <c r="Y403" s="533"/>
      <c r="Z403" s="533"/>
      <c r="AA403" s="533"/>
      <c r="AB403" s="533"/>
      <c r="AC403" s="533"/>
      <c r="AD403" s="533"/>
      <c r="AE403" s="533"/>
      <c r="AF403" s="533"/>
      <c r="AG403" s="533"/>
      <c r="AH403" s="533"/>
      <c r="AI403" s="533"/>
      <c r="AJ403" s="533"/>
      <c r="AK403" s="533"/>
      <c r="AL403" s="533"/>
      <c r="AM403" s="533"/>
      <c r="AN403" s="533"/>
      <c r="AO403" s="533"/>
    </row>
    <row r="404" spans="1:41" ht="12.95" customHeight="1" x14ac:dyDescent="0.2">
      <c r="A404" s="533"/>
      <c r="B404" s="533"/>
      <c r="C404" s="533"/>
      <c r="D404" s="594"/>
      <c r="E404" s="629"/>
      <c r="F404" s="630"/>
      <c r="G404" s="630"/>
      <c r="H404" s="629"/>
      <c r="I404" s="533"/>
      <c r="J404" s="533"/>
      <c r="K404" s="533"/>
      <c r="L404" s="532"/>
      <c r="M404" s="631"/>
      <c r="N404" s="533"/>
      <c r="O404" s="533"/>
      <c r="P404" s="533"/>
      <c r="Q404" s="533"/>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row>
    <row r="405" spans="1:41" ht="12.95" customHeight="1" x14ac:dyDescent="0.2">
      <c r="A405" s="533"/>
      <c r="B405" s="533"/>
      <c r="C405" s="533"/>
      <c r="D405" s="594"/>
      <c r="E405" s="629"/>
      <c r="F405" s="630"/>
      <c r="G405" s="630"/>
      <c r="H405" s="629"/>
      <c r="I405" s="533"/>
      <c r="J405" s="533"/>
      <c r="K405" s="533"/>
      <c r="L405" s="532"/>
      <c r="M405" s="631"/>
      <c r="N405" s="533"/>
      <c r="O405" s="533"/>
      <c r="P405" s="533"/>
      <c r="Q405" s="533"/>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c r="AN405" s="533"/>
      <c r="AO405" s="533"/>
    </row>
    <row r="406" spans="1:41" ht="12.95" customHeight="1" x14ac:dyDescent="0.2">
      <c r="A406" s="533"/>
      <c r="B406" s="533"/>
      <c r="C406" s="533"/>
      <c r="D406" s="594"/>
      <c r="E406" s="629"/>
      <c r="F406" s="630"/>
      <c r="G406" s="630"/>
      <c r="H406" s="629"/>
      <c r="I406" s="533"/>
      <c r="J406" s="533"/>
      <c r="K406" s="533"/>
      <c r="L406" s="532"/>
      <c r="M406" s="631"/>
      <c r="N406" s="533"/>
      <c r="O406" s="533"/>
      <c r="P406" s="533"/>
      <c r="Q406" s="533"/>
      <c r="R406" s="533"/>
      <c r="S406" s="533"/>
      <c r="T406" s="533"/>
      <c r="U406" s="533"/>
      <c r="V406" s="533"/>
      <c r="W406" s="533"/>
      <c r="X406" s="533"/>
      <c r="Y406" s="533"/>
      <c r="Z406" s="533"/>
      <c r="AA406" s="533"/>
      <c r="AB406" s="533"/>
      <c r="AC406" s="533"/>
      <c r="AD406" s="533"/>
      <c r="AE406" s="533"/>
      <c r="AF406" s="533"/>
      <c r="AG406" s="533"/>
      <c r="AH406" s="533"/>
      <c r="AI406" s="533"/>
      <c r="AJ406" s="533"/>
      <c r="AK406" s="533"/>
      <c r="AL406" s="533"/>
      <c r="AM406" s="533"/>
      <c r="AN406" s="533"/>
      <c r="AO406" s="533"/>
    </row>
    <row r="407" spans="1:41" ht="12.95" customHeight="1" x14ac:dyDescent="0.2">
      <c r="A407" s="533"/>
      <c r="B407" s="533"/>
      <c r="C407" s="533"/>
      <c r="D407" s="594"/>
      <c r="E407" s="629"/>
      <c r="F407" s="630"/>
      <c r="G407" s="630"/>
      <c r="H407" s="629"/>
      <c r="I407" s="533"/>
      <c r="J407" s="533"/>
      <c r="K407" s="533"/>
      <c r="L407" s="532"/>
      <c r="M407" s="631"/>
      <c r="N407" s="533"/>
      <c r="O407" s="533"/>
      <c r="P407" s="533"/>
      <c r="Q407" s="533"/>
      <c r="R407" s="533"/>
      <c r="S407" s="533"/>
      <c r="T407" s="533"/>
      <c r="U407" s="533"/>
      <c r="V407" s="533"/>
      <c r="W407" s="533"/>
      <c r="X407" s="533"/>
      <c r="Y407" s="533"/>
      <c r="Z407" s="533"/>
      <c r="AA407" s="533"/>
      <c r="AB407" s="533"/>
      <c r="AC407" s="533"/>
      <c r="AD407" s="533"/>
      <c r="AE407" s="533"/>
      <c r="AF407" s="533"/>
      <c r="AG407" s="533"/>
      <c r="AH407" s="533"/>
      <c r="AI407" s="533"/>
      <c r="AJ407" s="533"/>
      <c r="AK407" s="533"/>
      <c r="AL407" s="533"/>
      <c r="AM407" s="533"/>
      <c r="AN407" s="533"/>
      <c r="AO407" s="533"/>
    </row>
    <row r="408" spans="1:41" ht="12.95" customHeight="1" x14ac:dyDescent="0.2">
      <c r="A408" s="533"/>
      <c r="B408" s="533"/>
      <c r="C408" s="533"/>
      <c r="D408" s="594"/>
      <c r="E408" s="629"/>
      <c r="F408" s="630"/>
      <c r="G408" s="630"/>
      <c r="H408" s="629"/>
      <c r="I408" s="533"/>
      <c r="J408" s="533"/>
      <c r="K408" s="533"/>
      <c r="L408" s="532"/>
      <c r="M408" s="631"/>
      <c r="N408" s="533"/>
      <c r="O408" s="533"/>
      <c r="P408" s="533"/>
      <c r="Q408" s="533"/>
      <c r="R408" s="533"/>
      <c r="S408" s="533"/>
      <c r="T408" s="533"/>
      <c r="U408" s="533"/>
      <c r="V408" s="533"/>
      <c r="W408" s="533"/>
      <c r="X408" s="533"/>
      <c r="Y408" s="533"/>
      <c r="Z408" s="533"/>
      <c r="AA408" s="533"/>
      <c r="AB408" s="533"/>
      <c r="AC408" s="533"/>
      <c r="AD408" s="533"/>
      <c r="AE408" s="533"/>
      <c r="AF408" s="533"/>
      <c r="AG408" s="533"/>
      <c r="AH408" s="533"/>
      <c r="AI408" s="533"/>
      <c r="AJ408" s="533"/>
      <c r="AK408" s="533"/>
      <c r="AL408" s="533"/>
      <c r="AM408" s="533"/>
      <c r="AN408" s="533"/>
      <c r="AO408" s="533"/>
    </row>
    <row r="409" spans="1:41" ht="12.95" customHeight="1" x14ac:dyDescent="0.2">
      <c r="A409" s="533"/>
      <c r="B409" s="533"/>
      <c r="C409" s="533"/>
      <c r="D409" s="594"/>
      <c r="E409" s="629"/>
      <c r="F409" s="630"/>
      <c r="G409" s="630"/>
      <c r="H409" s="629"/>
      <c r="I409" s="533"/>
      <c r="J409" s="533"/>
      <c r="K409" s="533"/>
      <c r="L409" s="532"/>
      <c r="M409" s="631"/>
      <c r="N409" s="533"/>
      <c r="O409" s="533"/>
      <c r="P409" s="533"/>
      <c r="Q409" s="533"/>
      <c r="R409" s="533"/>
      <c r="S409" s="533"/>
      <c r="T409" s="533"/>
      <c r="U409" s="533"/>
      <c r="V409" s="533"/>
      <c r="W409" s="533"/>
      <c r="X409" s="533"/>
      <c r="Y409" s="533"/>
      <c r="Z409" s="533"/>
      <c r="AA409" s="533"/>
      <c r="AB409" s="533"/>
      <c r="AC409" s="533"/>
      <c r="AD409" s="533"/>
      <c r="AE409" s="533"/>
      <c r="AF409" s="533"/>
      <c r="AG409" s="533"/>
      <c r="AH409" s="533"/>
      <c r="AI409" s="533"/>
      <c r="AJ409" s="533"/>
      <c r="AK409" s="533"/>
      <c r="AL409" s="533"/>
      <c r="AM409" s="533"/>
      <c r="AN409" s="533"/>
      <c r="AO409" s="533"/>
    </row>
    <row r="410" spans="1:41" ht="12.95" customHeight="1" x14ac:dyDescent="0.2">
      <c r="A410" s="533"/>
      <c r="B410" s="533"/>
      <c r="C410" s="533"/>
      <c r="D410" s="594"/>
      <c r="E410" s="629"/>
      <c r="F410" s="630"/>
      <c r="G410" s="630"/>
      <c r="H410" s="629"/>
      <c r="I410" s="533"/>
      <c r="J410" s="533"/>
      <c r="K410" s="533"/>
      <c r="L410" s="532"/>
      <c r="M410" s="631"/>
      <c r="N410" s="533"/>
      <c r="O410" s="533"/>
      <c r="P410" s="533"/>
      <c r="Q410" s="533"/>
      <c r="R410" s="533"/>
      <c r="S410" s="533"/>
      <c r="T410" s="533"/>
      <c r="U410" s="533"/>
      <c r="V410" s="533"/>
      <c r="W410" s="533"/>
      <c r="X410" s="533"/>
      <c r="Y410" s="533"/>
      <c r="Z410" s="533"/>
      <c r="AA410" s="533"/>
      <c r="AB410" s="533"/>
      <c r="AC410" s="533"/>
      <c r="AD410" s="533"/>
      <c r="AE410" s="533"/>
      <c r="AF410" s="533"/>
      <c r="AG410" s="533"/>
      <c r="AH410" s="533"/>
      <c r="AI410" s="533"/>
      <c r="AJ410" s="533"/>
      <c r="AK410" s="533"/>
      <c r="AL410" s="533"/>
      <c r="AM410" s="533"/>
      <c r="AN410" s="533"/>
      <c r="AO410" s="533"/>
    </row>
    <row r="411" spans="1:41" ht="12.95" customHeight="1" x14ac:dyDescent="0.2">
      <c r="A411" s="533"/>
      <c r="B411" s="533"/>
      <c r="C411" s="533"/>
      <c r="D411" s="594"/>
      <c r="E411" s="629"/>
      <c r="F411" s="630"/>
      <c r="G411" s="630"/>
      <c r="H411" s="629"/>
      <c r="I411" s="533"/>
      <c r="J411" s="533"/>
      <c r="K411" s="533"/>
      <c r="L411" s="532"/>
      <c r="M411" s="631"/>
      <c r="N411" s="533"/>
      <c r="O411" s="533"/>
      <c r="P411" s="533"/>
      <c r="Q411" s="533"/>
      <c r="R411" s="533"/>
      <c r="S411" s="533"/>
      <c r="T411" s="533"/>
      <c r="U411" s="533"/>
      <c r="V411" s="533"/>
      <c r="W411" s="533"/>
      <c r="X411" s="533"/>
      <c r="Y411" s="533"/>
      <c r="Z411" s="533"/>
      <c r="AA411" s="533"/>
      <c r="AB411" s="533"/>
      <c r="AC411" s="533"/>
      <c r="AD411" s="533"/>
      <c r="AE411" s="533"/>
      <c r="AF411" s="533"/>
      <c r="AG411" s="533"/>
      <c r="AH411" s="533"/>
      <c r="AI411" s="533"/>
      <c r="AJ411" s="533"/>
      <c r="AK411" s="533"/>
      <c r="AL411" s="533"/>
      <c r="AM411" s="533"/>
      <c r="AN411" s="533"/>
      <c r="AO411" s="533"/>
    </row>
    <row r="412" spans="1:41" ht="12.95" customHeight="1" x14ac:dyDescent="0.2">
      <c r="A412" s="533"/>
      <c r="B412" s="533"/>
      <c r="C412" s="533"/>
      <c r="D412" s="594"/>
      <c r="E412" s="629"/>
      <c r="F412" s="630"/>
      <c r="G412" s="630"/>
      <c r="H412" s="629"/>
      <c r="I412" s="533"/>
      <c r="J412" s="533"/>
      <c r="K412" s="533"/>
      <c r="L412" s="532"/>
      <c r="M412" s="631"/>
      <c r="N412" s="533"/>
      <c r="O412" s="533"/>
      <c r="P412" s="533"/>
      <c r="Q412" s="533"/>
      <c r="R412" s="533"/>
      <c r="S412" s="533"/>
      <c r="T412" s="533"/>
      <c r="U412" s="533"/>
      <c r="V412" s="533"/>
      <c r="W412" s="533"/>
      <c r="X412" s="533"/>
      <c r="Y412" s="533"/>
      <c r="Z412" s="533"/>
      <c r="AA412" s="533"/>
      <c r="AB412" s="533"/>
      <c r="AC412" s="533"/>
      <c r="AD412" s="533"/>
      <c r="AE412" s="533"/>
      <c r="AF412" s="533"/>
      <c r="AG412" s="533"/>
      <c r="AH412" s="533"/>
      <c r="AI412" s="533"/>
      <c r="AJ412" s="533"/>
      <c r="AK412" s="533"/>
      <c r="AL412" s="533"/>
      <c r="AM412" s="533"/>
      <c r="AN412" s="533"/>
      <c r="AO412" s="533"/>
    </row>
    <row r="413" spans="1:41" ht="12.95" customHeight="1" x14ac:dyDescent="0.2">
      <c r="A413" s="533"/>
      <c r="B413" s="533"/>
      <c r="C413" s="533"/>
      <c r="D413" s="594"/>
      <c r="E413" s="629"/>
      <c r="F413" s="630"/>
      <c r="G413" s="630"/>
      <c r="H413" s="629"/>
      <c r="I413" s="533"/>
      <c r="J413" s="533"/>
      <c r="K413" s="533"/>
      <c r="L413" s="532"/>
      <c r="M413" s="631"/>
      <c r="N413" s="533"/>
      <c r="O413" s="533"/>
      <c r="P413" s="533"/>
      <c r="Q413" s="533"/>
      <c r="R413" s="533"/>
      <c r="S413" s="533"/>
      <c r="T413" s="533"/>
      <c r="U413" s="533"/>
      <c r="V413" s="533"/>
      <c r="W413" s="533"/>
      <c r="X413" s="533"/>
      <c r="Y413" s="533"/>
      <c r="Z413" s="533"/>
      <c r="AA413" s="533"/>
      <c r="AB413" s="533"/>
      <c r="AC413" s="533"/>
      <c r="AD413" s="533"/>
      <c r="AE413" s="533"/>
      <c r="AF413" s="533"/>
      <c r="AG413" s="533"/>
      <c r="AH413" s="533"/>
      <c r="AI413" s="533"/>
      <c r="AJ413" s="533"/>
      <c r="AK413" s="533"/>
      <c r="AL413" s="533"/>
      <c r="AM413" s="533"/>
      <c r="AN413" s="533"/>
      <c r="AO413" s="533"/>
    </row>
    <row r="414" spans="1:41" ht="12.95" customHeight="1" x14ac:dyDescent="0.2">
      <c r="A414" s="533"/>
      <c r="B414" s="533"/>
      <c r="C414" s="533"/>
      <c r="D414" s="594"/>
      <c r="E414" s="629"/>
      <c r="F414" s="630"/>
      <c r="G414" s="630"/>
      <c r="H414" s="629"/>
      <c r="I414" s="533"/>
      <c r="J414" s="533"/>
      <c r="K414" s="533"/>
      <c r="L414" s="532"/>
      <c r="M414" s="631"/>
      <c r="N414" s="533"/>
      <c r="O414" s="533"/>
      <c r="P414" s="533"/>
      <c r="Q414" s="533"/>
      <c r="R414" s="533"/>
      <c r="S414" s="533"/>
      <c r="T414" s="533"/>
      <c r="U414" s="533"/>
      <c r="V414" s="533"/>
      <c r="W414" s="533"/>
      <c r="X414" s="533"/>
      <c r="Y414" s="533"/>
      <c r="Z414" s="533"/>
      <c r="AA414" s="533"/>
      <c r="AB414" s="533"/>
      <c r="AC414" s="533"/>
      <c r="AD414" s="533"/>
      <c r="AE414" s="533"/>
      <c r="AF414" s="533"/>
      <c r="AG414" s="533"/>
      <c r="AH414" s="533"/>
      <c r="AI414" s="533"/>
      <c r="AJ414" s="533"/>
      <c r="AK414" s="533"/>
      <c r="AL414" s="533"/>
      <c r="AM414" s="533"/>
      <c r="AN414" s="533"/>
      <c r="AO414" s="533"/>
    </row>
    <row r="415" spans="1:41" ht="12.95" customHeight="1" x14ac:dyDescent="0.2">
      <c r="A415" s="533"/>
      <c r="B415" s="533"/>
      <c r="C415" s="533"/>
      <c r="D415" s="594"/>
      <c r="E415" s="629"/>
      <c r="F415" s="630"/>
      <c r="G415" s="630"/>
      <c r="H415" s="629"/>
      <c r="I415" s="533"/>
      <c r="J415" s="533"/>
      <c r="K415" s="533"/>
      <c r="L415" s="532"/>
      <c r="M415" s="631"/>
      <c r="N415" s="533"/>
      <c r="O415" s="533"/>
      <c r="P415" s="533"/>
      <c r="Q415" s="533"/>
      <c r="R415" s="533"/>
      <c r="S415" s="533"/>
      <c r="T415" s="533"/>
      <c r="U415" s="533"/>
      <c r="V415" s="533"/>
      <c r="W415" s="533"/>
      <c r="X415" s="533"/>
      <c r="Y415" s="533"/>
      <c r="Z415" s="533"/>
      <c r="AA415" s="533"/>
      <c r="AB415" s="533"/>
      <c r="AC415" s="533"/>
      <c r="AD415" s="533"/>
      <c r="AE415" s="533"/>
      <c r="AF415" s="533"/>
      <c r="AG415" s="533"/>
      <c r="AH415" s="533"/>
      <c r="AI415" s="533"/>
      <c r="AJ415" s="533"/>
      <c r="AK415" s="533"/>
      <c r="AL415" s="533"/>
      <c r="AM415" s="533"/>
      <c r="AN415" s="533"/>
      <c r="AO415" s="533"/>
    </row>
    <row r="416" spans="1:41" ht="12.95" customHeight="1" x14ac:dyDescent="0.2">
      <c r="A416" s="533"/>
      <c r="B416" s="533"/>
      <c r="C416" s="533"/>
      <c r="D416" s="594"/>
      <c r="E416" s="629"/>
      <c r="F416" s="630"/>
      <c r="G416" s="630"/>
      <c r="H416" s="629"/>
      <c r="I416" s="533"/>
      <c r="J416" s="533"/>
      <c r="K416" s="533"/>
      <c r="L416" s="532"/>
      <c r="M416" s="631"/>
      <c r="N416" s="533"/>
      <c r="O416" s="533"/>
      <c r="P416" s="533"/>
      <c r="Q416" s="533"/>
      <c r="R416" s="533"/>
      <c r="S416" s="533"/>
      <c r="T416" s="533"/>
      <c r="U416" s="533"/>
      <c r="V416" s="533"/>
      <c r="W416" s="533"/>
      <c r="X416" s="533"/>
      <c r="Y416" s="533"/>
      <c r="Z416" s="533"/>
      <c r="AA416" s="533"/>
      <c r="AB416" s="533"/>
      <c r="AC416" s="533"/>
      <c r="AD416" s="533"/>
      <c r="AE416" s="533"/>
      <c r="AF416" s="533"/>
      <c r="AG416" s="533"/>
      <c r="AH416" s="533"/>
      <c r="AI416" s="533"/>
      <c r="AJ416" s="533"/>
      <c r="AK416" s="533"/>
      <c r="AL416" s="533"/>
      <c r="AM416" s="533"/>
      <c r="AN416" s="533"/>
      <c r="AO416" s="533"/>
    </row>
    <row r="417" spans="1:41" ht="12.95" customHeight="1" x14ac:dyDescent="0.2">
      <c r="A417" s="533"/>
      <c r="B417" s="533"/>
      <c r="C417" s="533"/>
      <c r="D417" s="594"/>
      <c r="E417" s="629"/>
      <c r="F417" s="630"/>
      <c r="G417" s="630"/>
      <c r="H417" s="629"/>
      <c r="I417" s="533"/>
      <c r="J417" s="533"/>
      <c r="K417" s="533"/>
      <c r="L417" s="532"/>
      <c r="M417" s="631"/>
      <c r="N417" s="533"/>
      <c r="O417" s="533"/>
      <c r="P417" s="533"/>
      <c r="Q417" s="533"/>
      <c r="R417" s="533"/>
      <c r="S417" s="533"/>
      <c r="T417" s="533"/>
      <c r="U417" s="533"/>
      <c r="V417" s="533"/>
      <c r="W417" s="533"/>
      <c r="X417" s="533"/>
      <c r="Y417" s="533"/>
      <c r="Z417" s="533"/>
      <c r="AA417" s="533"/>
      <c r="AB417" s="533"/>
      <c r="AC417" s="533"/>
      <c r="AD417" s="533"/>
      <c r="AE417" s="533"/>
      <c r="AF417" s="533"/>
      <c r="AG417" s="533"/>
      <c r="AH417" s="533"/>
      <c r="AI417" s="533"/>
      <c r="AJ417" s="533"/>
      <c r="AK417" s="533"/>
      <c r="AL417" s="533"/>
      <c r="AM417" s="533"/>
      <c r="AN417" s="533"/>
      <c r="AO417" s="533"/>
    </row>
    <row r="418" spans="1:41" ht="12.95" customHeight="1" x14ac:dyDescent="0.2">
      <c r="A418" s="533"/>
      <c r="B418" s="533"/>
      <c r="C418" s="533"/>
      <c r="D418" s="594"/>
      <c r="E418" s="629"/>
      <c r="F418" s="630"/>
      <c r="G418" s="630"/>
      <c r="H418" s="629"/>
      <c r="I418" s="533"/>
      <c r="J418" s="533"/>
      <c r="K418" s="533"/>
      <c r="L418" s="532"/>
      <c r="M418" s="631"/>
      <c r="N418" s="533"/>
      <c r="O418" s="533"/>
      <c r="P418" s="533"/>
      <c r="Q418" s="533"/>
      <c r="R418" s="533"/>
      <c r="S418" s="533"/>
      <c r="T418" s="533"/>
      <c r="U418" s="533"/>
      <c r="V418" s="533"/>
      <c r="W418" s="533"/>
      <c r="X418" s="533"/>
      <c r="Y418" s="533"/>
      <c r="Z418" s="533"/>
      <c r="AA418" s="533"/>
      <c r="AB418" s="533"/>
      <c r="AC418" s="533"/>
      <c r="AD418" s="533"/>
      <c r="AE418" s="533"/>
      <c r="AF418" s="533"/>
      <c r="AG418" s="533"/>
      <c r="AH418" s="533"/>
      <c r="AI418" s="533"/>
      <c r="AJ418" s="533"/>
      <c r="AK418" s="533"/>
      <c r="AL418" s="533"/>
      <c r="AM418" s="533"/>
      <c r="AN418" s="533"/>
      <c r="AO418" s="533"/>
    </row>
    <row r="419" spans="1:41" ht="12.95" customHeight="1" x14ac:dyDescent="0.2">
      <c r="A419" s="533"/>
      <c r="B419" s="533"/>
      <c r="C419" s="533"/>
      <c r="D419" s="594"/>
      <c r="E419" s="629"/>
      <c r="F419" s="630"/>
      <c r="G419" s="630"/>
      <c r="H419" s="629"/>
      <c r="I419" s="533"/>
      <c r="J419" s="533"/>
      <c r="K419" s="533"/>
      <c r="L419" s="532"/>
      <c r="M419" s="631"/>
      <c r="N419" s="533"/>
      <c r="O419" s="533"/>
      <c r="P419" s="533"/>
      <c r="Q419" s="533"/>
      <c r="R419" s="533"/>
      <c r="S419" s="533"/>
      <c r="T419" s="533"/>
      <c r="U419" s="533"/>
      <c r="V419" s="533"/>
      <c r="W419" s="533"/>
      <c r="X419" s="533"/>
      <c r="Y419" s="533"/>
      <c r="Z419" s="533"/>
      <c r="AA419" s="533"/>
      <c r="AB419" s="533"/>
      <c r="AC419" s="533"/>
      <c r="AD419" s="533"/>
      <c r="AE419" s="533"/>
      <c r="AF419" s="533"/>
      <c r="AG419" s="533"/>
      <c r="AH419" s="533"/>
      <c r="AI419" s="533"/>
      <c r="AJ419" s="533"/>
      <c r="AK419" s="533"/>
      <c r="AL419" s="533"/>
      <c r="AM419" s="533"/>
      <c r="AN419" s="533"/>
      <c r="AO419" s="533"/>
    </row>
    <row r="420" spans="1:41" ht="12.95" customHeight="1" x14ac:dyDescent="0.2">
      <c r="A420" s="533"/>
      <c r="B420" s="533"/>
      <c r="C420" s="533"/>
      <c r="D420" s="594"/>
      <c r="E420" s="629"/>
      <c r="F420" s="630"/>
      <c r="G420" s="630"/>
      <c r="H420" s="629"/>
      <c r="I420" s="533"/>
      <c r="J420" s="533"/>
      <c r="K420" s="533"/>
      <c r="L420" s="532"/>
      <c r="M420" s="631"/>
      <c r="N420" s="533"/>
      <c r="O420" s="533"/>
      <c r="P420" s="533"/>
      <c r="Q420" s="533"/>
      <c r="R420" s="533"/>
      <c r="S420" s="533"/>
      <c r="T420" s="533"/>
      <c r="U420" s="533"/>
      <c r="V420" s="533"/>
      <c r="W420" s="533"/>
      <c r="X420" s="533"/>
      <c r="Y420" s="533"/>
      <c r="Z420" s="533"/>
      <c r="AA420" s="533"/>
      <c r="AB420" s="533"/>
      <c r="AC420" s="533"/>
      <c r="AD420" s="533"/>
      <c r="AE420" s="533"/>
      <c r="AF420" s="533"/>
      <c r="AG420" s="533"/>
      <c r="AH420" s="533"/>
      <c r="AI420" s="533"/>
      <c r="AJ420" s="533"/>
      <c r="AK420" s="533"/>
      <c r="AL420" s="533"/>
      <c r="AM420" s="533"/>
      <c r="AN420" s="533"/>
      <c r="AO420" s="533"/>
    </row>
    <row r="421" spans="1:41" ht="12.95" customHeight="1" x14ac:dyDescent="0.2">
      <c r="A421" s="533"/>
      <c r="B421" s="533"/>
      <c r="C421" s="533"/>
      <c r="D421" s="594"/>
      <c r="E421" s="629"/>
      <c r="F421" s="630"/>
      <c r="G421" s="630"/>
      <c r="H421" s="629"/>
      <c r="I421" s="533"/>
      <c r="J421" s="533"/>
      <c r="K421" s="533"/>
      <c r="L421" s="532"/>
      <c r="M421" s="631"/>
      <c r="N421" s="533"/>
      <c r="O421" s="533"/>
      <c r="P421" s="533"/>
      <c r="Q421" s="533"/>
      <c r="R421" s="533"/>
      <c r="S421" s="533"/>
      <c r="T421" s="533"/>
      <c r="U421" s="533"/>
      <c r="V421" s="533"/>
      <c r="W421" s="533"/>
      <c r="X421" s="533"/>
      <c r="Y421" s="533"/>
      <c r="Z421" s="533"/>
      <c r="AA421" s="533"/>
      <c r="AB421" s="533"/>
      <c r="AC421" s="533"/>
      <c r="AD421" s="533"/>
      <c r="AE421" s="533"/>
      <c r="AF421" s="533"/>
      <c r="AG421" s="533"/>
      <c r="AH421" s="533"/>
      <c r="AI421" s="533"/>
      <c r="AJ421" s="533"/>
      <c r="AK421" s="533"/>
      <c r="AL421" s="533"/>
      <c r="AM421" s="533"/>
      <c r="AN421" s="533"/>
      <c r="AO421" s="533"/>
    </row>
    <row r="422" spans="1:41" ht="12.95" customHeight="1" x14ac:dyDescent="0.2">
      <c r="A422" s="533"/>
      <c r="B422" s="533"/>
      <c r="C422" s="533"/>
      <c r="D422" s="594"/>
      <c r="E422" s="629"/>
      <c r="F422" s="630"/>
      <c r="G422" s="630"/>
      <c r="H422" s="629"/>
      <c r="I422" s="533"/>
      <c r="J422" s="533"/>
      <c r="K422" s="533"/>
      <c r="L422" s="532"/>
      <c r="M422" s="631"/>
      <c r="N422" s="533"/>
      <c r="O422" s="533"/>
      <c r="P422" s="533"/>
      <c r="Q422" s="533"/>
      <c r="R422" s="533"/>
      <c r="S422" s="533"/>
      <c r="T422" s="533"/>
      <c r="U422" s="533"/>
      <c r="V422" s="533"/>
      <c r="W422" s="533"/>
      <c r="X422" s="533"/>
      <c r="Y422" s="533"/>
      <c r="Z422" s="533"/>
      <c r="AA422" s="533"/>
      <c r="AB422" s="533"/>
      <c r="AC422" s="533"/>
      <c r="AD422" s="533"/>
      <c r="AE422" s="533"/>
      <c r="AF422" s="533"/>
      <c r="AG422" s="533"/>
      <c r="AH422" s="533"/>
      <c r="AI422" s="533"/>
      <c r="AJ422" s="533"/>
      <c r="AK422" s="533"/>
      <c r="AL422" s="533"/>
      <c r="AM422" s="533"/>
      <c r="AN422" s="533"/>
      <c r="AO422" s="533"/>
    </row>
    <row r="423" spans="1:41" ht="12.95" customHeight="1" x14ac:dyDescent="0.2">
      <c r="A423" s="533"/>
      <c r="B423" s="533"/>
      <c r="C423" s="533"/>
      <c r="D423" s="594"/>
      <c r="E423" s="629"/>
      <c r="F423" s="630"/>
      <c r="G423" s="630"/>
      <c r="H423" s="629"/>
      <c r="I423" s="533"/>
      <c r="J423" s="533"/>
      <c r="K423" s="533"/>
      <c r="L423" s="532"/>
      <c r="M423" s="631"/>
      <c r="N423" s="533"/>
      <c r="O423" s="533"/>
      <c r="P423" s="533"/>
      <c r="Q423" s="533"/>
      <c r="R423" s="533"/>
      <c r="S423" s="533"/>
      <c r="T423" s="533"/>
      <c r="U423" s="533"/>
      <c r="V423" s="533"/>
      <c r="W423" s="533"/>
      <c r="X423" s="533"/>
      <c r="Y423" s="533"/>
      <c r="Z423" s="533"/>
      <c r="AA423" s="533"/>
      <c r="AB423" s="533"/>
      <c r="AC423" s="533"/>
      <c r="AD423" s="533"/>
      <c r="AE423" s="533"/>
      <c r="AF423" s="533"/>
      <c r="AG423" s="533"/>
      <c r="AH423" s="533"/>
      <c r="AI423" s="533"/>
      <c r="AJ423" s="533"/>
      <c r="AK423" s="533"/>
      <c r="AL423" s="533"/>
      <c r="AM423" s="533"/>
      <c r="AN423" s="533"/>
      <c r="AO423" s="533"/>
    </row>
    <row r="424" spans="1:41" ht="12.95" customHeight="1" x14ac:dyDescent="0.2">
      <c r="A424" s="533"/>
      <c r="B424" s="533"/>
      <c r="C424" s="533"/>
      <c r="D424" s="594"/>
      <c r="E424" s="629"/>
      <c r="F424" s="630"/>
      <c r="G424" s="630"/>
      <c r="H424" s="629"/>
      <c r="I424" s="533"/>
      <c r="J424" s="533"/>
      <c r="K424" s="533"/>
      <c r="L424" s="532"/>
      <c r="M424" s="631"/>
      <c r="N424" s="533"/>
      <c r="O424" s="533"/>
      <c r="P424" s="533"/>
      <c r="Q424" s="533"/>
      <c r="R424" s="533"/>
      <c r="S424" s="533"/>
      <c r="T424" s="533"/>
      <c r="U424" s="533"/>
      <c r="V424" s="533"/>
      <c r="W424" s="533"/>
      <c r="X424" s="533"/>
      <c r="Y424" s="533"/>
      <c r="Z424" s="533"/>
      <c r="AA424" s="533"/>
      <c r="AB424" s="533"/>
      <c r="AC424" s="533"/>
      <c r="AD424" s="533"/>
      <c r="AE424" s="533"/>
      <c r="AF424" s="533"/>
      <c r="AG424" s="533"/>
      <c r="AH424" s="533"/>
      <c r="AI424" s="533"/>
      <c r="AJ424" s="533"/>
      <c r="AK424" s="533"/>
      <c r="AL424" s="533"/>
      <c r="AM424" s="533"/>
      <c r="AN424" s="533"/>
      <c r="AO424" s="533"/>
    </row>
    <row r="425" spans="1:41" ht="12.95" customHeight="1" x14ac:dyDescent="0.2">
      <c r="A425" s="533"/>
      <c r="B425" s="533"/>
      <c r="C425" s="533"/>
      <c r="D425" s="594"/>
      <c r="E425" s="629"/>
      <c r="F425" s="630"/>
      <c r="G425" s="630"/>
      <c r="H425" s="629"/>
      <c r="I425" s="533"/>
      <c r="J425" s="533"/>
      <c r="K425" s="533"/>
      <c r="L425" s="532"/>
      <c r="M425" s="631"/>
      <c r="N425" s="533"/>
      <c r="O425" s="533"/>
      <c r="P425" s="533"/>
      <c r="Q425" s="533"/>
      <c r="R425" s="533"/>
      <c r="S425" s="533"/>
      <c r="T425" s="533"/>
      <c r="U425" s="533"/>
      <c r="V425" s="533"/>
      <c r="W425" s="533"/>
      <c r="X425" s="533"/>
      <c r="Y425" s="533"/>
      <c r="Z425" s="533"/>
      <c r="AA425" s="533"/>
      <c r="AB425" s="533"/>
      <c r="AC425" s="533"/>
      <c r="AD425" s="533"/>
      <c r="AE425" s="533"/>
      <c r="AF425" s="533"/>
      <c r="AG425" s="533"/>
      <c r="AH425" s="533"/>
      <c r="AI425" s="533"/>
      <c r="AJ425" s="533"/>
      <c r="AK425" s="533"/>
      <c r="AL425" s="533"/>
      <c r="AM425" s="533"/>
      <c r="AN425" s="533"/>
      <c r="AO425" s="533"/>
    </row>
    <row r="426" spans="1:41" ht="12.95" customHeight="1" x14ac:dyDescent="0.2">
      <c r="A426" s="533"/>
      <c r="B426" s="533"/>
      <c r="C426" s="533"/>
      <c r="D426" s="594"/>
      <c r="E426" s="629"/>
      <c r="F426" s="630"/>
      <c r="G426" s="630"/>
      <c r="H426" s="629"/>
      <c r="I426" s="533"/>
      <c r="J426" s="533"/>
      <c r="K426" s="533"/>
      <c r="L426" s="532"/>
      <c r="M426" s="631"/>
      <c r="N426" s="533"/>
      <c r="O426" s="533"/>
      <c r="P426" s="533"/>
      <c r="Q426" s="533"/>
      <c r="R426" s="533"/>
      <c r="S426" s="533"/>
      <c r="T426" s="533"/>
      <c r="U426" s="533"/>
      <c r="V426" s="533"/>
      <c r="W426" s="533"/>
      <c r="X426" s="533"/>
      <c r="Y426" s="533"/>
      <c r="Z426" s="533"/>
      <c r="AA426" s="533"/>
      <c r="AB426" s="533"/>
      <c r="AC426" s="533"/>
      <c r="AD426" s="533"/>
      <c r="AE426" s="533"/>
      <c r="AF426" s="533"/>
      <c r="AG426" s="533"/>
      <c r="AH426" s="533"/>
      <c r="AI426" s="533"/>
      <c r="AJ426" s="533"/>
      <c r="AK426" s="533"/>
      <c r="AL426" s="533"/>
      <c r="AM426" s="533"/>
      <c r="AN426" s="533"/>
      <c r="AO426" s="533"/>
    </row>
    <row r="427" spans="1:41" ht="12.95" customHeight="1" x14ac:dyDescent="0.2">
      <c r="A427" s="533"/>
      <c r="B427" s="533"/>
      <c r="C427" s="533"/>
      <c r="D427" s="594"/>
      <c r="E427" s="629"/>
      <c r="F427" s="630"/>
      <c r="G427" s="630"/>
      <c r="H427" s="629"/>
      <c r="I427" s="533"/>
      <c r="J427" s="533"/>
      <c r="K427" s="533"/>
      <c r="L427" s="532"/>
      <c r="M427" s="631"/>
      <c r="N427" s="533"/>
      <c r="O427" s="533"/>
      <c r="P427" s="533"/>
      <c r="Q427" s="533"/>
      <c r="R427" s="533"/>
      <c r="S427" s="533"/>
      <c r="T427" s="533"/>
      <c r="U427" s="533"/>
      <c r="V427" s="533"/>
      <c r="W427" s="533"/>
      <c r="X427" s="533"/>
      <c r="Y427" s="533"/>
      <c r="Z427" s="533"/>
      <c r="AA427" s="533"/>
      <c r="AB427" s="533"/>
      <c r="AC427" s="533"/>
      <c r="AD427" s="533"/>
      <c r="AE427" s="533"/>
      <c r="AF427" s="533"/>
      <c r="AG427" s="533"/>
      <c r="AH427" s="533"/>
      <c r="AI427" s="533"/>
      <c r="AJ427" s="533"/>
      <c r="AK427" s="533"/>
      <c r="AL427" s="533"/>
      <c r="AM427" s="533"/>
      <c r="AN427" s="533"/>
      <c r="AO427" s="533"/>
    </row>
    <row r="428" spans="1:41" ht="12.95" customHeight="1" x14ac:dyDescent="0.2">
      <c r="A428" s="533"/>
      <c r="B428" s="533"/>
      <c r="C428" s="533"/>
      <c r="D428" s="594"/>
      <c r="E428" s="629"/>
      <c r="F428" s="630"/>
      <c r="G428" s="630"/>
      <c r="H428" s="629"/>
      <c r="I428" s="533"/>
      <c r="J428" s="533"/>
      <c r="K428" s="533"/>
      <c r="L428" s="532"/>
      <c r="M428" s="631"/>
      <c r="N428" s="533"/>
      <c r="O428" s="533"/>
      <c r="P428" s="533"/>
      <c r="Q428" s="533"/>
      <c r="R428" s="533"/>
      <c r="S428" s="533"/>
      <c r="T428" s="533"/>
      <c r="U428" s="533"/>
      <c r="V428" s="533"/>
      <c r="W428" s="533"/>
      <c r="X428" s="533"/>
      <c r="Y428" s="533"/>
      <c r="Z428" s="533"/>
      <c r="AA428" s="533"/>
      <c r="AB428" s="533"/>
      <c r="AC428" s="533"/>
      <c r="AD428" s="533"/>
      <c r="AE428" s="533"/>
      <c r="AF428" s="533"/>
      <c r="AG428" s="533"/>
      <c r="AH428" s="533"/>
      <c r="AI428" s="533"/>
      <c r="AJ428" s="533"/>
      <c r="AK428" s="533"/>
      <c r="AL428" s="533"/>
      <c r="AM428" s="533"/>
      <c r="AN428" s="533"/>
      <c r="AO428" s="533"/>
    </row>
    <row r="429" spans="1:41" ht="12.95" customHeight="1" x14ac:dyDescent="0.2">
      <c r="A429" s="533"/>
      <c r="B429" s="533"/>
      <c r="C429" s="533"/>
      <c r="D429" s="594"/>
      <c r="E429" s="629"/>
      <c r="F429" s="630"/>
      <c r="G429" s="630"/>
      <c r="H429" s="629"/>
      <c r="I429" s="533"/>
      <c r="J429" s="533"/>
      <c r="K429" s="533"/>
      <c r="L429" s="532"/>
      <c r="M429" s="631"/>
      <c r="N429" s="533"/>
      <c r="O429" s="533"/>
      <c r="P429" s="533"/>
      <c r="Q429" s="533"/>
      <c r="R429" s="533"/>
      <c r="S429" s="533"/>
      <c r="T429" s="533"/>
      <c r="U429" s="533"/>
      <c r="V429" s="533"/>
      <c r="W429" s="533"/>
      <c r="X429" s="533"/>
      <c r="Y429" s="533"/>
      <c r="Z429" s="533"/>
      <c r="AA429" s="533"/>
      <c r="AB429" s="533"/>
      <c r="AC429" s="533"/>
      <c r="AD429" s="533"/>
      <c r="AE429" s="533"/>
      <c r="AF429" s="533"/>
      <c r="AG429" s="533"/>
      <c r="AH429" s="533"/>
      <c r="AI429" s="533"/>
      <c r="AJ429" s="533"/>
      <c r="AK429" s="533"/>
      <c r="AL429" s="533"/>
      <c r="AM429" s="533"/>
      <c r="AN429" s="533"/>
      <c r="AO429" s="533"/>
    </row>
    <row r="430" spans="1:41" ht="12.95" customHeight="1" x14ac:dyDescent="0.2">
      <c r="A430" s="533"/>
      <c r="B430" s="533"/>
      <c r="C430" s="533"/>
      <c r="D430" s="594"/>
      <c r="E430" s="629"/>
      <c r="F430" s="630"/>
      <c r="G430" s="630"/>
      <c r="H430" s="629"/>
      <c r="I430" s="533"/>
      <c r="J430" s="533"/>
      <c r="K430" s="533"/>
      <c r="L430" s="532"/>
      <c r="M430" s="631"/>
      <c r="N430" s="533"/>
      <c r="O430" s="533"/>
      <c r="P430" s="533"/>
      <c r="Q430" s="533"/>
      <c r="R430" s="533"/>
      <c r="S430" s="533"/>
      <c r="T430" s="533"/>
      <c r="U430" s="533"/>
      <c r="V430" s="533"/>
      <c r="W430" s="533"/>
      <c r="X430" s="533"/>
      <c r="Y430" s="533"/>
      <c r="Z430" s="533"/>
      <c r="AA430" s="533"/>
      <c r="AB430" s="533"/>
      <c r="AC430" s="533"/>
      <c r="AD430" s="533"/>
      <c r="AE430" s="533"/>
      <c r="AF430" s="533"/>
      <c r="AG430" s="533"/>
      <c r="AH430" s="533"/>
      <c r="AI430" s="533"/>
      <c r="AJ430" s="533"/>
      <c r="AK430" s="533"/>
      <c r="AL430" s="533"/>
      <c r="AM430" s="533"/>
      <c r="AN430" s="533"/>
      <c r="AO430" s="533"/>
    </row>
    <row r="431" spans="1:41" ht="12.95" customHeight="1" x14ac:dyDescent="0.2">
      <c r="A431" s="533"/>
      <c r="B431" s="533"/>
      <c r="C431" s="533"/>
      <c r="D431" s="594"/>
      <c r="E431" s="629"/>
      <c r="F431" s="630"/>
      <c r="G431" s="630"/>
      <c r="H431" s="629"/>
      <c r="I431" s="533"/>
      <c r="J431" s="533"/>
      <c r="K431" s="533"/>
      <c r="L431" s="532"/>
      <c r="M431" s="631"/>
      <c r="N431" s="533"/>
      <c r="O431" s="533"/>
      <c r="P431" s="533"/>
      <c r="Q431" s="533"/>
      <c r="R431" s="533"/>
      <c r="S431" s="533"/>
      <c r="T431" s="533"/>
      <c r="U431" s="533"/>
      <c r="V431" s="533"/>
      <c r="W431" s="533"/>
      <c r="X431" s="533"/>
      <c r="Y431" s="533"/>
      <c r="Z431" s="533"/>
      <c r="AA431" s="533"/>
      <c r="AB431" s="533"/>
      <c r="AC431" s="533"/>
      <c r="AD431" s="533"/>
      <c r="AE431" s="533"/>
      <c r="AF431" s="533"/>
      <c r="AG431" s="533"/>
      <c r="AH431" s="533"/>
      <c r="AI431" s="533"/>
      <c r="AJ431" s="533"/>
      <c r="AK431" s="533"/>
      <c r="AL431" s="533"/>
      <c r="AM431" s="533"/>
      <c r="AN431" s="533"/>
      <c r="AO431" s="533"/>
    </row>
    <row r="432" spans="1:41" ht="12.95" customHeight="1" x14ac:dyDescent="0.2">
      <c r="A432" s="533"/>
      <c r="B432" s="533"/>
      <c r="C432" s="533"/>
      <c r="D432" s="594"/>
      <c r="E432" s="629"/>
      <c r="F432" s="630"/>
      <c r="G432" s="630"/>
      <c r="H432" s="629"/>
      <c r="I432" s="533"/>
      <c r="J432" s="533"/>
      <c r="K432" s="533"/>
      <c r="L432" s="532"/>
      <c r="M432" s="631"/>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row>
    <row r="433" spans="1:41" ht="12.95" customHeight="1" x14ac:dyDescent="0.2">
      <c r="A433" s="533"/>
      <c r="B433" s="533"/>
      <c r="C433" s="533"/>
      <c r="D433" s="594"/>
      <c r="E433" s="629"/>
      <c r="F433" s="630"/>
      <c r="G433" s="630"/>
      <c r="H433" s="629"/>
      <c r="I433" s="533"/>
      <c r="J433" s="533"/>
      <c r="K433" s="533"/>
      <c r="L433" s="532"/>
      <c r="M433" s="631"/>
      <c r="N433" s="533"/>
      <c r="O433" s="533"/>
      <c r="P433" s="533"/>
      <c r="Q433" s="533"/>
      <c r="R433" s="533"/>
      <c r="S433" s="533"/>
      <c r="T433" s="533"/>
      <c r="U433" s="533"/>
      <c r="V433" s="533"/>
      <c r="W433" s="533"/>
      <c r="X433" s="533"/>
      <c r="Y433" s="533"/>
      <c r="Z433" s="533"/>
      <c r="AA433" s="533"/>
      <c r="AB433" s="533"/>
      <c r="AC433" s="533"/>
      <c r="AD433" s="533"/>
      <c r="AE433" s="533"/>
      <c r="AF433" s="533"/>
      <c r="AG433" s="533"/>
      <c r="AH433" s="533"/>
      <c r="AI433" s="533"/>
      <c r="AJ433" s="533"/>
      <c r="AK433" s="533"/>
      <c r="AL433" s="533"/>
      <c r="AM433" s="533"/>
      <c r="AN433" s="533"/>
      <c r="AO433" s="533"/>
    </row>
    <row r="434" spans="1:41" ht="12.95" customHeight="1" x14ac:dyDescent="0.2">
      <c r="A434" s="533"/>
      <c r="B434" s="533"/>
      <c r="C434" s="533"/>
      <c r="D434" s="594"/>
      <c r="E434" s="629"/>
      <c r="F434" s="630"/>
      <c r="G434" s="630"/>
      <c r="H434" s="629"/>
      <c r="I434" s="533"/>
      <c r="J434" s="533"/>
      <c r="K434" s="533"/>
      <c r="L434" s="532"/>
      <c r="M434" s="631"/>
      <c r="N434" s="533"/>
      <c r="O434" s="533"/>
      <c r="P434" s="533"/>
      <c r="Q434" s="533"/>
      <c r="R434" s="533"/>
      <c r="S434" s="533"/>
      <c r="T434" s="533"/>
      <c r="U434" s="533"/>
      <c r="V434" s="533"/>
      <c r="W434" s="533"/>
      <c r="X434" s="533"/>
      <c r="Y434" s="533"/>
      <c r="Z434" s="533"/>
      <c r="AA434" s="533"/>
      <c r="AB434" s="533"/>
      <c r="AC434" s="533"/>
      <c r="AD434" s="533"/>
      <c r="AE434" s="533"/>
      <c r="AF434" s="533"/>
      <c r="AG434" s="533"/>
      <c r="AH434" s="533"/>
      <c r="AI434" s="533"/>
      <c r="AJ434" s="533"/>
      <c r="AK434" s="533"/>
      <c r="AL434" s="533"/>
      <c r="AM434" s="533"/>
      <c r="AN434" s="533"/>
      <c r="AO434" s="533"/>
    </row>
    <row r="435" spans="1:41" ht="12.95" customHeight="1" x14ac:dyDescent="0.2">
      <c r="A435" s="533"/>
      <c r="B435" s="533"/>
      <c r="C435" s="533"/>
      <c r="D435" s="594"/>
      <c r="E435" s="629"/>
      <c r="F435" s="630"/>
      <c r="G435" s="630"/>
      <c r="H435" s="629"/>
      <c r="I435" s="533"/>
      <c r="J435" s="533"/>
      <c r="K435" s="533"/>
      <c r="L435" s="532"/>
      <c r="M435" s="631"/>
      <c r="N435" s="533"/>
      <c r="O435" s="533"/>
      <c r="P435" s="533"/>
      <c r="Q435" s="533"/>
      <c r="R435" s="533"/>
      <c r="S435" s="533"/>
      <c r="T435" s="533"/>
      <c r="U435" s="533"/>
      <c r="V435" s="533"/>
      <c r="W435" s="533"/>
      <c r="X435" s="533"/>
      <c r="Y435" s="533"/>
      <c r="Z435" s="533"/>
      <c r="AA435" s="533"/>
      <c r="AB435" s="533"/>
      <c r="AC435" s="533"/>
      <c r="AD435" s="533"/>
      <c r="AE435" s="533"/>
      <c r="AF435" s="533"/>
      <c r="AG435" s="533"/>
      <c r="AH435" s="533"/>
      <c r="AI435" s="533"/>
      <c r="AJ435" s="533"/>
      <c r="AK435" s="533"/>
      <c r="AL435" s="533"/>
      <c r="AM435" s="533"/>
      <c r="AN435" s="533"/>
      <c r="AO435" s="533"/>
    </row>
    <row r="436" spans="1:41" ht="12.95" customHeight="1" x14ac:dyDescent="0.2">
      <c r="A436" s="533"/>
      <c r="B436" s="533"/>
      <c r="C436" s="533"/>
      <c r="D436" s="594"/>
      <c r="E436" s="629"/>
      <c r="F436" s="630"/>
      <c r="G436" s="630"/>
      <c r="H436" s="629"/>
      <c r="I436" s="533"/>
      <c r="J436" s="533"/>
      <c r="K436" s="533"/>
      <c r="L436" s="532"/>
      <c r="M436" s="631"/>
      <c r="N436" s="533"/>
      <c r="O436" s="533"/>
      <c r="P436" s="533"/>
      <c r="Q436" s="533"/>
      <c r="R436" s="533"/>
      <c r="S436" s="533"/>
      <c r="T436" s="533"/>
      <c r="U436" s="533"/>
      <c r="V436" s="533"/>
      <c r="W436" s="533"/>
      <c r="X436" s="533"/>
      <c r="Y436" s="533"/>
      <c r="Z436" s="533"/>
      <c r="AA436" s="533"/>
      <c r="AB436" s="533"/>
      <c r="AC436" s="533"/>
      <c r="AD436" s="533"/>
      <c r="AE436" s="533"/>
      <c r="AF436" s="533"/>
      <c r="AG436" s="533"/>
      <c r="AH436" s="533"/>
      <c r="AI436" s="533"/>
      <c r="AJ436" s="533"/>
      <c r="AK436" s="533"/>
      <c r="AL436" s="533"/>
      <c r="AM436" s="533"/>
      <c r="AN436" s="533"/>
      <c r="AO436" s="533"/>
    </row>
    <row r="437" spans="1:41" ht="12.95" customHeight="1" x14ac:dyDescent="0.2">
      <c r="A437" s="533"/>
      <c r="B437" s="533"/>
      <c r="C437" s="533"/>
      <c r="D437" s="594"/>
      <c r="E437" s="629"/>
      <c r="F437" s="630"/>
      <c r="G437" s="630"/>
      <c r="H437" s="629"/>
      <c r="I437" s="533"/>
      <c r="J437" s="533"/>
      <c r="K437" s="533"/>
      <c r="L437" s="532"/>
      <c r="M437" s="631"/>
      <c r="N437" s="533"/>
      <c r="O437" s="533"/>
      <c r="P437" s="533"/>
      <c r="Q437" s="533"/>
      <c r="R437" s="533"/>
      <c r="S437" s="533"/>
      <c r="T437" s="533"/>
      <c r="U437" s="533"/>
      <c r="V437" s="533"/>
      <c r="W437" s="533"/>
      <c r="X437" s="533"/>
      <c r="Y437" s="533"/>
      <c r="Z437" s="533"/>
      <c r="AA437" s="533"/>
      <c r="AB437" s="533"/>
      <c r="AC437" s="533"/>
      <c r="AD437" s="533"/>
      <c r="AE437" s="533"/>
      <c r="AF437" s="533"/>
      <c r="AG437" s="533"/>
      <c r="AH437" s="533"/>
      <c r="AI437" s="533"/>
      <c r="AJ437" s="533"/>
      <c r="AK437" s="533"/>
      <c r="AL437" s="533"/>
      <c r="AM437" s="533"/>
      <c r="AN437" s="533"/>
      <c r="AO437" s="533"/>
    </row>
    <row r="438" spans="1:41" ht="12.95" customHeight="1" x14ac:dyDescent="0.2">
      <c r="A438" s="533"/>
      <c r="B438" s="533"/>
      <c r="C438" s="533"/>
      <c r="D438" s="594"/>
      <c r="E438" s="629"/>
      <c r="F438" s="630"/>
      <c r="G438" s="630"/>
      <c r="H438" s="629"/>
      <c r="I438" s="533"/>
      <c r="J438" s="533"/>
      <c r="K438" s="533"/>
      <c r="L438" s="532"/>
      <c r="M438" s="631"/>
      <c r="N438" s="533"/>
      <c r="O438" s="533"/>
      <c r="P438" s="533"/>
      <c r="Q438" s="533"/>
      <c r="R438" s="533"/>
      <c r="S438" s="533"/>
      <c r="T438" s="533"/>
      <c r="U438" s="533"/>
      <c r="V438" s="533"/>
      <c r="W438" s="533"/>
      <c r="X438" s="533"/>
      <c r="Y438" s="533"/>
      <c r="Z438" s="533"/>
      <c r="AA438" s="533"/>
      <c r="AB438" s="533"/>
      <c r="AC438" s="533"/>
      <c r="AD438" s="533"/>
      <c r="AE438" s="533"/>
      <c r="AF438" s="533"/>
      <c r="AG438" s="533"/>
      <c r="AH438" s="533"/>
      <c r="AI438" s="533"/>
      <c r="AJ438" s="533"/>
      <c r="AK438" s="533"/>
      <c r="AL438" s="533"/>
      <c r="AM438" s="533"/>
      <c r="AN438" s="533"/>
      <c r="AO438" s="533"/>
    </row>
    <row r="439" spans="1:41" ht="12.95" customHeight="1" x14ac:dyDescent="0.2">
      <c r="A439" s="533"/>
      <c r="B439" s="533"/>
      <c r="C439" s="533"/>
      <c r="D439" s="594"/>
      <c r="E439" s="629"/>
      <c r="F439" s="630"/>
      <c r="G439" s="630"/>
      <c r="H439" s="629"/>
      <c r="I439" s="533"/>
      <c r="J439" s="533"/>
      <c r="K439" s="533"/>
      <c r="L439" s="532"/>
      <c r="M439" s="631"/>
      <c r="N439" s="533"/>
      <c r="O439" s="533"/>
      <c r="P439" s="533"/>
      <c r="Q439" s="533"/>
      <c r="R439" s="533"/>
      <c r="S439" s="533"/>
      <c r="T439" s="533"/>
      <c r="U439" s="533"/>
      <c r="V439" s="533"/>
      <c r="W439" s="533"/>
      <c r="X439" s="533"/>
      <c r="Y439" s="533"/>
      <c r="Z439" s="533"/>
      <c r="AA439" s="533"/>
      <c r="AB439" s="533"/>
      <c r="AC439" s="533"/>
      <c r="AD439" s="533"/>
      <c r="AE439" s="533"/>
      <c r="AF439" s="533"/>
      <c r="AG439" s="533"/>
      <c r="AH439" s="533"/>
      <c r="AI439" s="533"/>
      <c r="AJ439" s="533"/>
      <c r="AK439" s="533"/>
      <c r="AL439" s="533"/>
      <c r="AM439" s="533"/>
      <c r="AN439" s="533"/>
      <c r="AO439" s="533"/>
    </row>
    <row r="440" spans="1:41" ht="12.95" customHeight="1" x14ac:dyDescent="0.2">
      <c r="A440" s="533"/>
      <c r="B440" s="533"/>
      <c r="C440" s="533"/>
      <c r="D440" s="594"/>
      <c r="E440" s="629"/>
      <c r="F440" s="630"/>
      <c r="G440" s="630"/>
      <c r="H440" s="629"/>
      <c r="I440" s="533"/>
      <c r="J440" s="533"/>
      <c r="K440" s="533"/>
      <c r="L440" s="532"/>
      <c r="M440" s="631"/>
      <c r="N440" s="533"/>
      <c r="O440" s="533"/>
      <c r="P440" s="533"/>
      <c r="Q440" s="533"/>
      <c r="R440" s="533"/>
      <c r="S440" s="533"/>
      <c r="T440" s="533"/>
      <c r="U440" s="533"/>
      <c r="V440" s="533"/>
      <c r="W440" s="533"/>
      <c r="X440" s="533"/>
      <c r="Y440" s="533"/>
      <c r="Z440" s="533"/>
      <c r="AA440" s="533"/>
      <c r="AB440" s="533"/>
      <c r="AC440" s="533"/>
      <c r="AD440" s="533"/>
      <c r="AE440" s="533"/>
      <c r="AF440" s="533"/>
      <c r="AG440" s="533"/>
      <c r="AH440" s="533"/>
      <c r="AI440" s="533"/>
      <c r="AJ440" s="533"/>
      <c r="AK440" s="533"/>
      <c r="AL440" s="533"/>
      <c r="AM440" s="533"/>
      <c r="AN440" s="533"/>
      <c r="AO440" s="533"/>
    </row>
    <row r="441" spans="1:41" ht="12.95" customHeight="1" x14ac:dyDescent="0.2">
      <c r="A441" s="533"/>
      <c r="B441" s="533"/>
      <c r="C441" s="533"/>
      <c r="D441" s="594"/>
      <c r="E441" s="629"/>
      <c r="F441" s="630"/>
      <c r="G441" s="630"/>
      <c r="H441" s="629"/>
      <c r="I441" s="533"/>
      <c r="J441" s="533"/>
      <c r="K441" s="533"/>
      <c r="L441" s="532"/>
      <c r="M441" s="631"/>
      <c r="N441" s="533"/>
      <c r="O441" s="533"/>
      <c r="P441" s="533"/>
      <c r="Q441" s="533"/>
      <c r="R441" s="533"/>
      <c r="S441" s="533"/>
      <c r="T441" s="533"/>
      <c r="U441" s="533"/>
      <c r="V441" s="533"/>
      <c r="W441" s="533"/>
      <c r="X441" s="533"/>
      <c r="Y441" s="533"/>
      <c r="Z441" s="533"/>
      <c r="AA441" s="533"/>
      <c r="AB441" s="533"/>
      <c r="AC441" s="533"/>
      <c r="AD441" s="533"/>
      <c r="AE441" s="533"/>
      <c r="AF441" s="533"/>
      <c r="AG441" s="533"/>
      <c r="AH441" s="533"/>
      <c r="AI441" s="533"/>
      <c r="AJ441" s="533"/>
      <c r="AK441" s="533"/>
      <c r="AL441" s="533"/>
      <c r="AM441" s="533"/>
      <c r="AN441" s="533"/>
      <c r="AO441" s="533"/>
    </row>
    <row r="442" spans="1:41" ht="12.95" customHeight="1" x14ac:dyDescent="0.2">
      <c r="A442" s="533"/>
      <c r="B442" s="533"/>
      <c r="C442" s="533"/>
      <c r="D442" s="594"/>
      <c r="E442" s="629"/>
      <c r="F442" s="630"/>
      <c r="G442" s="630"/>
      <c r="H442" s="629"/>
      <c r="I442" s="533"/>
      <c r="J442" s="533"/>
      <c r="K442" s="533"/>
      <c r="L442" s="532"/>
      <c r="M442" s="631"/>
      <c r="N442" s="533"/>
      <c r="O442" s="533"/>
      <c r="P442" s="533"/>
      <c r="Q442" s="533"/>
      <c r="R442" s="533"/>
      <c r="S442" s="533"/>
      <c r="T442" s="533"/>
      <c r="U442" s="533"/>
      <c r="V442" s="533"/>
      <c r="W442" s="533"/>
      <c r="X442" s="533"/>
      <c r="Y442" s="533"/>
      <c r="Z442" s="533"/>
      <c r="AA442" s="533"/>
      <c r="AB442" s="533"/>
      <c r="AC442" s="533"/>
      <c r="AD442" s="533"/>
      <c r="AE442" s="533"/>
      <c r="AF442" s="533"/>
      <c r="AG442" s="533"/>
      <c r="AH442" s="533"/>
      <c r="AI442" s="533"/>
      <c r="AJ442" s="533"/>
      <c r="AK442" s="533"/>
      <c r="AL442" s="533"/>
      <c r="AM442" s="533"/>
      <c r="AN442" s="533"/>
      <c r="AO442" s="533"/>
    </row>
    <row r="443" spans="1:41" ht="12.95" customHeight="1" x14ac:dyDescent="0.2">
      <c r="A443" s="533"/>
      <c r="B443" s="533"/>
      <c r="C443" s="533"/>
      <c r="D443" s="594"/>
      <c r="E443" s="629"/>
      <c r="F443" s="630"/>
      <c r="G443" s="630"/>
      <c r="H443" s="629"/>
      <c r="I443" s="533"/>
      <c r="J443" s="533"/>
      <c r="K443" s="533"/>
      <c r="L443" s="532"/>
      <c r="M443" s="631"/>
      <c r="N443" s="533"/>
      <c r="O443" s="533"/>
      <c r="P443" s="533"/>
      <c r="Q443" s="533"/>
      <c r="R443" s="533"/>
      <c r="S443" s="533"/>
      <c r="T443" s="533"/>
      <c r="U443" s="533"/>
      <c r="V443" s="533"/>
      <c r="W443" s="533"/>
      <c r="X443" s="533"/>
      <c r="Y443" s="533"/>
      <c r="Z443" s="533"/>
      <c r="AA443" s="533"/>
      <c r="AB443" s="533"/>
      <c r="AC443" s="533"/>
      <c r="AD443" s="533"/>
      <c r="AE443" s="533"/>
      <c r="AF443" s="533"/>
      <c r="AG443" s="533"/>
      <c r="AH443" s="533"/>
      <c r="AI443" s="533"/>
      <c r="AJ443" s="533"/>
      <c r="AK443" s="533"/>
      <c r="AL443" s="533"/>
      <c r="AM443" s="533"/>
      <c r="AN443" s="533"/>
      <c r="AO443" s="533"/>
    </row>
    <row r="444" spans="1:41" ht="12.95" customHeight="1" x14ac:dyDescent="0.2">
      <c r="A444" s="533"/>
      <c r="B444" s="533"/>
      <c r="C444" s="533"/>
      <c r="D444" s="594"/>
      <c r="E444" s="629"/>
      <c r="F444" s="630"/>
      <c r="G444" s="630"/>
      <c r="H444" s="629"/>
      <c r="I444" s="533"/>
      <c r="J444" s="533"/>
      <c r="K444" s="533"/>
      <c r="L444" s="532"/>
      <c r="M444" s="631"/>
      <c r="N444" s="533"/>
      <c r="O444" s="533"/>
      <c r="P444" s="533"/>
      <c r="Q444" s="533"/>
      <c r="R444" s="533"/>
      <c r="S444" s="533"/>
      <c r="T444" s="533"/>
      <c r="U444" s="533"/>
      <c r="V444" s="533"/>
      <c r="W444" s="533"/>
      <c r="X444" s="533"/>
      <c r="Y444" s="533"/>
      <c r="Z444" s="533"/>
      <c r="AA444" s="533"/>
      <c r="AB444" s="533"/>
      <c r="AC444" s="533"/>
      <c r="AD444" s="533"/>
      <c r="AE444" s="533"/>
      <c r="AF444" s="533"/>
      <c r="AG444" s="533"/>
      <c r="AH444" s="533"/>
      <c r="AI444" s="533"/>
      <c r="AJ444" s="533"/>
      <c r="AK444" s="533"/>
      <c r="AL444" s="533"/>
      <c r="AM444" s="533"/>
      <c r="AN444" s="533"/>
      <c r="AO444" s="533"/>
    </row>
    <row r="445" spans="1:41" ht="12.95" customHeight="1" x14ac:dyDescent="0.2">
      <c r="A445" s="533"/>
      <c r="B445" s="533"/>
      <c r="C445" s="533"/>
      <c r="D445" s="594"/>
      <c r="E445" s="629"/>
      <c r="F445" s="630"/>
      <c r="G445" s="630"/>
      <c r="H445" s="629"/>
      <c r="I445" s="533"/>
      <c r="J445" s="533"/>
      <c r="K445" s="533"/>
      <c r="L445" s="532"/>
      <c r="M445" s="631"/>
      <c r="N445" s="533"/>
      <c r="O445" s="533"/>
      <c r="P445" s="533"/>
      <c r="Q445" s="533"/>
      <c r="R445" s="533"/>
      <c r="S445" s="533"/>
      <c r="T445" s="533"/>
      <c r="U445" s="533"/>
      <c r="V445" s="533"/>
      <c r="W445" s="533"/>
      <c r="X445" s="533"/>
      <c r="Y445" s="533"/>
      <c r="Z445" s="533"/>
      <c r="AA445" s="533"/>
      <c r="AB445" s="533"/>
      <c r="AC445" s="533"/>
      <c r="AD445" s="533"/>
      <c r="AE445" s="533"/>
      <c r="AF445" s="533"/>
      <c r="AG445" s="533"/>
      <c r="AH445" s="533"/>
      <c r="AI445" s="533"/>
      <c r="AJ445" s="533"/>
      <c r="AK445" s="533"/>
      <c r="AL445" s="533"/>
      <c r="AM445" s="533"/>
      <c r="AN445" s="533"/>
      <c r="AO445" s="533"/>
    </row>
    <row r="446" spans="1:41" ht="12.95" customHeight="1" x14ac:dyDescent="0.2">
      <c r="A446" s="533"/>
      <c r="B446" s="533"/>
      <c r="C446" s="533"/>
      <c r="D446" s="594"/>
      <c r="E446" s="629"/>
      <c r="F446" s="630"/>
      <c r="G446" s="630"/>
      <c r="H446" s="629"/>
      <c r="I446" s="533"/>
      <c r="J446" s="533"/>
      <c r="K446" s="533"/>
      <c r="L446" s="532"/>
      <c r="M446" s="631"/>
      <c r="N446" s="533"/>
      <c r="O446" s="533"/>
      <c r="P446" s="533"/>
      <c r="Q446" s="533"/>
      <c r="R446" s="533"/>
      <c r="S446" s="533"/>
      <c r="T446" s="533"/>
      <c r="U446" s="533"/>
      <c r="V446" s="533"/>
      <c r="W446" s="533"/>
      <c r="X446" s="533"/>
      <c r="Y446" s="533"/>
      <c r="Z446" s="533"/>
      <c r="AA446" s="533"/>
      <c r="AB446" s="533"/>
      <c r="AC446" s="533"/>
      <c r="AD446" s="533"/>
      <c r="AE446" s="533"/>
      <c r="AF446" s="533"/>
      <c r="AG446" s="533"/>
      <c r="AH446" s="533"/>
      <c r="AI446" s="533"/>
      <c r="AJ446" s="533"/>
      <c r="AK446" s="533"/>
      <c r="AL446" s="533"/>
      <c r="AM446" s="533"/>
      <c r="AN446" s="533"/>
      <c r="AO446" s="533"/>
    </row>
    <row r="447" spans="1:41" ht="12.95" customHeight="1" x14ac:dyDescent="0.2">
      <c r="A447" s="533"/>
      <c r="B447" s="533"/>
      <c r="C447" s="533"/>
      <c r="D447" s="594"/>
      <c r="E447" s="629"/>
      <c r="F447" s="630"/>
      <c r="G447" s="630"/>
      <c r="H447" s="629"/>
      <c r="I447" s="533"/>
      <c r="J447" s="533"/>
      <c r="K447" s="533"/>
      <c r="L447" s="532"/>
      <c r="M447" s="631"/>
      <c r="N447" s="533"/>
      <c r="O447" s="533"/>
      <c r="P447" s="533"/>
      <c r="Q447" s="533"/>
      <c r="R447" s="533"/>
      <c r="S447" s="533"/>
      <c r="T447" s="533"/>
      <c r="U447" s="533"/>
      <c r="V447" s="533"/>
      <c r="W447" s="533"/>
      <c r="X447" s="533"/>
      <c r="Y447" s="533"/>
      <c r="Z447" s="533"/>
      <c r="AA447" s="533"/>
      <c r="AB447" s="533"/>
      <c r="AC447" s="533"/>
      <c r="AD447" s="533"/>
      <c r="AE447" s="533"/>
      <c r="AF447" s="533"/>
      <c r="AG447" s="533"/>
      <c r="AH447" s="533"/>
      <c r="AI447" s="533"/>
      <c r="AJ447" s="533"/>
      <c r="AK447" s="533"/>
      <c r="AL447" s="533"/>
      <c r="AM447" s="533"/>
      <c r="AN447" s="533"/>
      <c r="AO447" s="533"/>
    </row>
    <row r="448" spans="1:41" ht="12.95" customHeight="1" x14ac:dyDescent="0.2">
      <c r="A448" s="533"/>
      <c r="B448" s="533"/>
      <c r="C448" s="533"/>
      <c r="D448" s="594"/>
      <c r="E448" s="629"/>
      <c r="F448" s="630"/>
      <c r="G448" s="630"/>
      <c r="H448" s="629"/>
      <c r="I448" s="533"/>
      <c r="J448" s="533"/>
      <c r="K448" s="533"/>
      <c r="L448" s="532"/>
      <c r="M448" s="631"/>
      <c r="N448" s="533"/>
      <c r="O448" s="533"/>
      <c r="P448" s="533"/>
      <c r="Q448" s="533"/>
      <c r="R448" s="533"/>
      <c r="S448" s="533"/>
      <c r="T448" s="533"/>
      <c r="U448" s="533"/>
      <c r="V448" s="533"/>
      <c r="W448" s="533"/>
      <c r="X448" s="533"/>
      <c r="Y448" s="533"/>
      <c r="Z448" s="533"/>
      <c r="AA448" s="533"/>
      <c r="AB448" s="533"/>
      <c r="AC448" s="533"/>
      <c r="AD448" s="533"/>
      <c r="AE448" s="533"/>
      <c r="AF448" s="533"/>
      <c r="AG448" s="533"/>
      <c r="AH448" s="533"/>
      <c r="AI448" s="533"/>
      <c r="AJ448" s="533"/>
      <c r="AK448" s="533"/>
      <c r="AL448" s="533"/>
      <c r="AM448" s="533"/>
      <c r="AN448" s="533"/>
      <c r="AO448" s="533"/>
    </row>
    <row r="449" spans="1:41" ht="12.95" customHeight="1" x14ac:dyDescent="0.2">
      <c r="A449" s="533"/>
      <c r="B449" s="533"/>
      <c r="C449" s="533"/>
      <c r="D449" s="594"/>
      <c r="E449" s="629"/>
      <c r="F449" s="630"/>
      <c r="G449" s="630"/>
      <c r="H449" s="629"/>
      <c r="I449" s="533"/>
      <c r="J449" s="533"/>
      <c r="K449" s="533"/>
      <c r="L449" s="532"/>
      <c r="M449" s="631"/>
      <c r="N449" s="533"/>
      <c r="O449" s="533"/>
      <c r="P449" s="533"/>
      <c r="Q449" s="533"/>
      <c r="R449" s="533"/>
      <c r="S449" s="533"/>
      <c r="T449" s="533"/>
      <c r="U449" s="533"/>
      <c r="V449" s="533"/>
      <c r="W449" s="533"/>
      <c r="X449" s="533"/>
      <c r="Y449" s="533"/>
      <c r="Z449" s="533"/>
      <c r="AA449" s="533"/>
      <c r="AB449" s="533"/>
      <c r="AC449" s="533"/>
      <c r="AD449" s="533"/>
      <c r="AE449" s="533"/>
      <c r="AF449" s="533"/>
      <c r="AG449" s="533"/>
      <c r="AH449" s="533"/>
      <c r="AI449" s="533"/>
      <c r="AJ449" s="533"/>
      <c r="AK449" s="533"/>
      <c r="AL449" s="533"/>
      <c r="AM449" s="533"/>
      <c r="AN449" s="533"/>
      <c r="AO449" s="533"/>
    </row>
    <row r="450" spans="1:41" ht="12.95" customHeight="1" x14ac:dyDescent="0.2">
      <c r="A450" s="533"/>
      <c r="B450" s="533"/>
      <c r="C450" s="533"/>
      <c r="D450" s="594"/>
      <c r="E450" s="629"/>
      <c r="F450" s="630"/>
      <c r="G450" s="630"/>
      <c r="H450" s="629"/>
      <c r="I450" s="533"/>
      <c r="J450" s="533"/>
      <c r="K450" s="533"/>
      <c r="L450" s="532"/>
      <c r="M450" s="631"/>
      <c r="N450" s="533"/>
      <c r="O450" s="533"/>
      <c r="P450" s="533"/>
      <c r="Q450" s="533"/>
      <c r="R450" s="533"/>
      <c r="S450" s="533"/>
      <c r="T450" s="533"/>
      <c r="U450" s="533"/>
      <c r="V450" s="533"/>
      <c r="W450" s="533"/>
      <c r="X450" s="533"/>
      <c r="Y450" s="533"/>
      <c r="Z450" s="533"/>
      <c r="AA450" s="533"/>
      <c r="AB450" s="533"/>
      <c r="AC450" s="533"/>
      <c r="AD450" s="533"/>
      <c r="AE450" s="533"/>
      <c r="AF450" s="533"/>
      <c r="AG450" s="533"/>
      <c r="AH450" s="533"/>
      <c r="AI450" s="533"/>
      <c r="AJ450" s="533"/>
      <c r="AK450" s="533"/>
      <c r="AL450" s="533"/>
      <c r="AM450" s="533"/>
      <c r="AN450" s="533"/>
      <c r="AO450" s="533"/>
    </row>
    <row r="451" spans="1:41" ht="12.95" customHeight="1" x14ac:dyDescent="0.2">
      <c r="A451" s="533"/>
      <c r="B451" s="533"/>
      <c r="C451" s="533"/>
      <c r="D451" s="594"/>
      <c r="E451" s="629"/>
      <c r="F451" s="630"/>
      <c r="G451" s="630"/>
      <c r="H451" s="629"/>
      <c r="I451" s="533"/>
      <c r="J451" s="533"/>
      <c r="K451" s="533"/>
      <c r="L451" s="532"/>
      <c r="M451" s="631"/>
      <c r="N451" s="533"/>
      <c r="O451" s="533"/>
      <c r="P451" s="533"/>
      <c r="Q451" s="533"/>
      <c r="R451" s="533"/>
      <c r="S451" s="533"/>
      <c r="T451" s="533"/>
      <c r="U451" s="533"/>
      <c r="V451" s="533"/>
      <c r="W451" s="533"/>
      <c r="X451" s="533"/>
      <c r="Y451" s="533"/>
      <c r="Z451" s="533"/>
      <c r="AA451" s="533"/>
      <c r="AB451" s="533"/>
      <c r="AC451" s="533"/>
      <c r="AD451" s="533"/>
      <c r="AE451" s="533"/>
      <c r="AF451" s="533"/>
      <c r="AG451" s="533"/>
      <c r="AH451" s="533"/>
      <c r="AI451" s="533"/>
      <c r="AJ451" s="533"/>
      <c r="AK451" s="533"/>
      <c r="AL451" s="533"/>
      <c r="AM451" s="533"/>
      <c r="AN451" s="533"/>
      <c r="AO451" s="533"/>
    </row>
    <row r="452" spans="1:41" ht="12.95" customHeight="1" x14ac:dyDescent="0.2">
      <c r="A452" s="533"/>
      <c r="B452" s="533"/>
      <c r="C452" s="533"/>
      <c r="D452" s="594"/>
      <c r="E452" s="629"/>
      <c r="F452" s="630"/>
      <c r="G452" s="630"/>
      <c r="H452" s="629"/>
      <c r="I452" s="533"/>
      <c r="J452" s="533"/>
      <c r="K452" s="533"/>
      <c r="L452" s="532"/>
      <c r="M452" s="631"/>
      <c r="N452" s="533"/>
      <c r="O452" s="533"/>
      <c r="P452" s="533"/>
      <c r="Q452" s="533"/>
      <c r="R452" s="533"/>
      <c r="S452" s="533"/>
      <c r="T452" s="533"/>
      <c r="U452" s="533"/>
      <c r="V452" s="533"/>
      <c r="W452" s="533"/>
      <c r="X452" s="533"/>
      <c r="Y452" s="533"/>
      <c r="Z452" s="533"/>
      <c r="AA452" s="533"/>
      <c r="AB452" s="533"/>
      <c r="AC452" s="533"/>
      <c r="AD452" s="533"/>
      <c r="AE452" s="533"/>
      <c r="AF452" s="533"/>
      <c r="AG452" s="533"/>
      <c r="AH452" s="533"/>
      <c r="AI452" s="533"/>
      <c r="AJ452" s="533"/>
      <c r="AK452" s="533"/>
      <c r="AL452" s="533"/>
      <c r="AM452" s="533"/>
      <c r="AN452" s="533"/>
      <c r="AO452" s="533"/>
    </row>
    <row r="453" spans="1:41" ht="12.95" customHeight="1" x14ac:dyDescent="0.2">
      <c r="A453" s="533"/>
      <c r="B453" s="533"/>
      <c r="C453" s="533"/>
      <c r="D453" s="594"/>
      <c r="E453" s="629"/>
      <c r="F453" s="630"/>
      <c r="G453" s="630"/>
      <c r="H453" s="629"/>
      <c r="I453" s="533"/>
      <c r="J453" s="533"/>
      <c r="K453" s="533"/>
      <c r="L453" s="532"/>
      <c r="M453" s="631"/>
      <c r="N453" s="533"/>
      <c r="O453" s="533"/>
      <c r="P453" s="533"/>
      <c r="Q453" s="533"/>
      <c r="R453" s="533"/>
      <c r="S453" s="533"/>
      <c r="T453" s="533"/>
      <c r="U453" s="533"/>
      <c r="V453" s="533"/>
      <c r="W453" s="533"/>
      <c r="X453" s="533"/>
      <c r="Y453" s="533"/>
      <c r="Z453" s="533"/>
      <c r="AA453" s="533"/>
      <c r="AB453" s="533"/>
      <c r="AC453" s="533"/>
      <c r="AD453" s="533"/>
      <c r="AE453" s="533"/>
      <c r="AF453" s="533"/>
      <c r="AG453" s="533"/>
      <c r="AH453" s="533"/>
      <c r="AI453" s="533"/>
      <c r="AJ453" s="533"/>
      <c r="AK453" s="533"/>
      <c r="AL453" s="533"/>
      <c r="AM453" s="533"/>
      <c r="AN453" s="533"/>
      <c r="AO453" s="533"/>
    </row>
    <row r="454" spans="1:41" ht="12.95" customHeight="1" x14ac:dyDescent="0.2">
      <c r="A454" s="533"/>
      <c r="B454" s="533"/>
      <c r="C454" s="533"/>
      <c r="D454" s="594"/>
      <c r="E454" s="629"/>
      <c r="F454" s="630"/>
      <c r="G454" s="630"/>
      <c r="H454" s="629"/>
      <c r="I454" s="533"/>
      <c r="J454" s="533"/>
      <c r="K454" s="533"/>
      <c r="L454" s="532"/>
      <c r="M454" s="631"/>
      <c r="N454" s="533"/>
      <c r="O454" s="533"/>
      <c r="P454" s="533"/>
      <c r="Q454" s="533"/>
      <c r="R454" s="533"/>
      <c r="S454" s="533"/>
      <c r="T454" s="533"/>
      <c r="U454" s="533"/>
      <c r="V454" s="533"/>
      <c r="W454" s="533"/>
      <c r="X454" s="533"/>
      <c r="Y454" s="533"/>
      <c r="Z454" s="533"/>
      <c r="AA454" s="533"/>
      <c r="AB454" s="533"/>
      <c r="AC454" s="533"/>
      <c r="AD454" s="533"/>
      <c r="AE454" s="533"/>
      <c r="AF454" s="533"/>
      <c r="AG454" s="533"/>
      <c r="AH454" s="533"/>
      <c r="AI454" s="533"/>
      <c r="AJ454" s="533"/>
      <c r="AK454" s="533"/>
      <c r="AL454" s="533"/>
      <c r="AM454" s="533"/>
      <c r="AN454" s="533"/>
      <c r="AO454" s="533"/>
    </row>
    <row r="455" spans="1:41" ht="12.95" customHeight="1" x14ac:dyDescent="0.2">
      <c r="A455" s="533"/>
      <c r="B455" s="533"/>
      <c r="C455" s="533"/>
      <c r="D455" s="594"/>
      <c r="E455" s="629"/>
      <c r="F455" s="630"/>
      <c r="G455" s="630"/>
      <c r="H455" s="629"/>
      <c r="I455" s="533"/>
      <c r="J455" s="533"/>
      <c r="K455" s="533"/>
      <c r="L455" s="532"/>
      <c r="M455" s="631"/>
      <c r="N455" s="533"/>
      <c r="O455" s="533"/>
      <c r="P455" s="533"/>
      <c r="Q455" s="533"/>
      <c r="R455" s="533"/>
      <c r="S455" s="533"/>
      <c r="T455" s="533"/>
      <c r="U455" s="533"/>
      <c r="V455" s="533"/>
      <c r="W455" s="533"/>
      <c r="X455" s="533"/>
      <c r="Y455" s="533"/>
      <c r="Z455" s="533"/>
      <c r="AA455" s="533"/>
      <c r="AB455" s="533"/>
      <c r="AC455" s="533"/>
      <c r="AD455" s="533"/>
      <c r="AE455" s="533"/>
      <c r="AF455" s="533"/>
      <c r="AG455" s="533"/>
      <c r="AH455" s="533"/>
      <c r="AI455" s="533"/>
      <c r="AJ455" s="533"/>
      <c r="AK455" s="533"/>
      <c r="AL455" s="533"/>
      <c r="AM455" s="533"/>
      <c r="AN455" s="533"/>
      <c r="AO455" s="533"/>
    </row>
    <row r="456" spans="1:41" ht="12.95" customHeight="1" x14ac:dyDescent="0.2">
      <c r="A456" s="533"/>
      <c r="B456" s="533"/>
      <c r="C456" s="533"/>
      <c r="D456" s="594"/>
      <c r="E456" s="629"/>
      <c r="F456" s="630"/>
      <c r="G456" s="630"/>
      <c r="H456" s="629"/>
      <c r="I456" s="533"/>
      <c r="J456" s="533"/>
      <c r="K456" s="533"/>
      <c r="L456" s="532"/>
      <c r="M456" s="631"/>
      <c r="N456" s="533"/>
      <c r="O456" s="533"/>
      <c r="P456" s="533"/>
      <c r="Q456" s="533"/>
      <c r="R456" s="533"/>
      <c r="S456" s="533"/>
      <c r="T456" s="533"/>
      <c r="U456" s="533"/>
      <c r="V456" s="533"/>
      <c r="W456" s="533"/>
      <c r="X456" s="533"/>
      <c r="Y456" s="533"/>
      <c r="Z456" s="533"/>
      <c r="AA456" s="533"/>
      <c r="AB456" s="533"/>
      <c r="AC456" s="533"/>
      <c r="AD456" s="533"/>
      <c r="AE456" s="533"/>
      <c r="AF456" s="533"/>
      <c r="AG456" s="533"/>
      <c r="AH456" s="533"/>
      <c r="AI456" s="533"/>
      <c r="AJ456" s="533"/>
      <c r="AK456" s="533"/>
      <c r="AL456" s="533"/>
      <c r="AM456" s="533"/>
      <c r="AN456" s="533"/>
      <c r="AO456" s="533"/>
    </row>
    <row r="457" spans="1:41" ht="12.95" customHeight="1" x14ac:dyDescent="0.2">
      <c r="A457" s="533"/>
      <c r="B457" s="533"/>
      <c r="C457" s="533"/>
      <c r="D457" s="594"/>
      <c r="E457" s="629"/>
      <c r="F457" s="630"/>
      <c r="G457" s="630"/>
      <c r="H457" s="629"/>
      <c r="I457" s="533"/>
      <c r="J457" s="533"/>
      <c r="K457" s="533"/>
      <c r="L457" s="532"/>
      <c r="M457" s="631"/>
      <c r="N457" s="533"/>
      <c r="O457" s="533"/>
      <c r="P457" s="533"/>
      <c r="Q457" s="533"/>
      <c r="R457" s="533"/>
      <c r="S457" s="533"/>
      <c r="T457" s="533"/>
      <c r="U457" s="533"/>
      <c r="V457" s="533"/>
      <c r="W457" s="533"/>
      <c r="X457" s="533"/>
      <c r="Y457" s="533"/>
      <c r="Z457" s="533"/>
      <c r="AA457" s="533"/>
      <c r="AB457" s="533"/>
      <c r="AC457" s="533"/>
      <c r="AD457" s="533"/>
      <c r="AE457" s="533"/>
      <c r="AF457" s="533"/>
      <c r="AG457" s="533"/>
      <c r="AH457" s="533"/>
      <c r="AI457" s="533"/>
      <c r="AJ457" s="533"/>
      <c r="AK457" s="533"/>
      <c r="AL457" s="533"/>
      <c r="AM457" s="533"/>
      <c r="AN457" s="533"/>
      <c r="AO457" s="533"/>
    </row>
    <row r="458" spans="1:41" ht="12.95" customHeight="1" x14ac:dyDescent="0.2">
      <c r="A458" s="533"/>
      <c r="B458" s="533"/>
      <c r="C458" s="533"/>
      <c r="D458" s="594"/>
      <c r="E458" s="629"/>
      <c r="F458" s="630"/>
      <c r="G458" s="630"/>
      <c r="H458" s="629"/>
      <c r="I458" s="533"/>
      <c r="J458" s="533"/>
      <c r="K458" s="533"/>
      <c r="L458" s="532"/>
      <c r="M458" s="631"/>
      <c r="N458" s="533"/>
      <c r="O458" s="533"/>
      <c r="P458" s="533"/>
      <c r="Q458" s="533"/>
      <c r="R458" s="533"/>
      <c r="S458" s="533"/>
      <c r="T458" s="533"/>
      <c r="U458" s="533"/>
      <c r="V458" s="533"/>
      <c r="W458" s="533"/>
      <c r="X458" s="533"/>
      <c r="Y458" s="533"/>
      <c r="Z458" s="533"/>
      <c r="AA458" s="533"/>
      <c r="AB458" s="533"/>
      <c r="AC458" s="533"/>
      <c r="AD458" s="533"/>
      <c r="AE458" s="533"/>
      <c r="AF458" s="533"/>
      <c r="AG458" s="533"/>
      <c r="AH458" s="533"/>
      <c r="AI458" s="533"/>
      <c r="AJ458" s="533"/>
      <c r="AK458" s="533"/>
      <c r="AL458" s="533"/>
      <c r="AM458" s="533"/>
      <c r="AN458" s="533"/>
      <c r="AO458" s="533"/>
    </row>
    <row r="459" spans="1:41" ht="12.95" customHeight="1" x14ac:dyDescent="0.2">
      <c r="A459" s="533"/>
      <c r="B459" s="533"/>
      <c r="C459" s="533"/>
      <c r="D459" s="594"/>
      <c r="E459" s="629"/>
      <c r="F459" s="630"/>
      <c r="G459" s="630"/>
      <c r="H459" s="629"/>
      <c r="I459" s="533"/>
      <c r="J459" s="533"/>
      <c r="K459" s="533"/>
      <c r="L459" s="532"/>
      <c r="M459" s="631"/>
      <c r="N459" s="533"/>
      <c r="O459" s="533"/>
      <c r="P459" s="533"/>
      <c r="Q459" s="533"/>
      <c r="R459" s="533"/>
      <c r="S459" s="533"/>
      <c r="T459" s="533"/>
      <c r="U459" s="533"/>
      <c r="V459" s="533"/>
      <c r="W459" s="533"/>
      <c r="X459" s="533"/>
      <c r="Y459" s="533"/>
      <c r="Z459" s="533"/>
      <c r="AA459" s="533"/>
      <c r="AB459" s="533"/>
      <c r="AC459" s="533"/>
      <c r="AD459" s="533"/>
      <c r="AE459" s="533"/>
      <c r="AF459" s="533"/>
      <c r="AG459" s="533"/>
      <c r="AH459" s="533"/>
      <c r="AI459" s="533"/>
      <c r="AJ459" s="533"/>
      <c r="AK459" s="533"/>
      <c r="AL459" s="533"/>
      <c r="AM459" s="533"/>
      <c r="AN459" s="533"/>
      <c r="AO459" s="533"/>
    </row>
    <row r="460" spans="1:41" ht="12.95" customHeight="1" x14ac:dyDescent="0.2">
      <c r="A460" s="533"/>
      <c r="B460" s="533"/>
      <c r="C460" s="533"/>
      <c r="D460" s="594"/>
      <c r="E460" s="629"/>
      <c r="F460" s="630"/>
      <c r="G460" s="630"/>
      <c r="H460" s="629"/>
      <c r="I460" s="533"/>
      <c r="J460" s="533"/>
      <c r="K460" s="533"/>
      <c r="L460" s="532"/>
      <c r="M460" s="631"/>
      <c r="N460" s="533"/>
      <c r="O460" s="533"/>
      <c r="P460" s="533"/>
      <c r="Q460" s="533"/>
      <c r="R460" s="533"/>
      <c r="S460" s="533"/>
      <c r="T460" s="533"/>
      <c r="U460" s="533"/>
      <c r="V460" s="533"/>
      <c r="W460" s="533"/>
      <c r="X460" s="533"/>
      <c r="Y460" s="533"/>
      <c r="Z460" s="533"/>
      <c r="AA460" s="533"/>
      <c r="AB460" s="533"/>
      <c r="AC460" s="533"/>
      <c r="AD460" s="533"/>
      <c r="AE460" s="533"/>
      <c r="AF460" s="533"/>
      <c r="AG460" s="533"/>
      <c r="AH460" s="533"/>
      <c r="AI460" s="533"/>
      <c r="AJ460" s="533"/>
      <c r="AK460" s="533"/>
      <c r="AL460" s="533"/>
      <c r="AM460" s="533"/>
      <c r="AN460" s="533"/>
      <c r="AO460" s="533"/>
    </row>
    <row r="461" spans="1:41" ht="12.95" customHeight="1" x14ac:dyDescent="0.2">
      <c r="A461" s="533"/>
      <c r="B461" s="533"/>
      <c r="C461" s="533"/>
      <c r="D461" s="594"/>
      <c r="E461" s="629"/>
      <c r="F461" s="630"/>
      <c r="G461" s="630"/>
      <c r="H461" s="629"/>
      <c r="I461" s="533"/>
      <c r="J461" s="533"/>
      <c r="K461" s="533"/>
      <c r="L461" s="532"/>
      <c r="M461" s="631"/>
      <c r="N461" s="533"/>
      <c r="O461" s="533"/>
      <c r="P461" s="533"/>
      <c r="Q461" s="533"/>
      <c r="R461" s="533"/>
      <c r="S461" s="533"/>
      <c r="T461" s="533"/>
      <c r="U461" s="533"/>
      <c r="V461" s="533"/>
      <c r="W461" s="533"/>
      <c r="X461" s="533"/>
      <c r="Y461" s="533"/>
      <c r="Z461" s="533"/>
      <c r="AA461" s="533"/>
      <c r="AB461" s="533"/>
      <c r="AC461" s="533"/>
      <c r="AD461" s="533"/>
      <c r="AE461" s="533"/>
      <c r="AF461" s="533"/>
      <c r="AG461" s="533"/>
      <c r="AH461" s="533"/>
      <c r="AI461" s="533"/>
      <c r="AJ461" s="533"/>
      <c r="AK461" s="533"/>
      <c r="AL461" s="533"/>
      <c r="AM461" s="533"/>
      <c r="AN461" s="533"/>
      <c r="AO461" s="533"/>
    </row>
    <row r="462" spans="1:41" ht="12.95" customHeight="1" x14ac:dyDescent="0.2">
      <c r="A462" s="533"/>
      <c r="B462" s="533"/>
      <c r="C462" s="533"/>
      <c r="D462" s="594"/>
      <c r="E462" s="629"/>
      <c r="F462" s="630"/>
      <c r="G462" s="630"/>
      <c r="H462" s="629"/>
      <c r="I462" s="533"/>
      <c r="J462" s="533"/>
      <c r="K462" s="533"/>
      <c r="L462" s="532"/>
      <c r="M462" s="631"/>
      <c r="N462" s="533"/>
      <c r="O462" s="533"/>
      <c r="P462" s="533"/>
      <c r="Q462" s="533"/>
      <c r="R462" s="533"/>
      <c r="S462" s="533"/>
      <c r="T462" s="533"/>
      <c r="U462" s="533"/>
      <c r="V462" s="533"/>
      <c r="W462" s="533"/>
      <c r="X462" s="533"/>
      <c r="Y462" s="533"/>
      <c r="Z462" s="533"/>
      <c r="AA462" s="533"/>
      <c r="AB462" s="533"/>
      <c r="AC462" s="533"/>
      <c r="AD462" s="533"/>
      <c r="AE462" s="533"/>
      <c r="AF462" s="533"/>
      <c r="AG462" s="533"/>
      <c r="AH462" s="533"/>
      <c r="AI462" s="533"/>
      <c r="AJ462" s="533"/>
      <c r="AK462" s="533"/>
      <c r="AL462" s="533"/>
      <c r="AM462" s="533"/>
      <c r="AN462" s="533"/>
      <c r="AO462" s="533"/>
    </row>
    <row r="463" spans="1:41" ht="12.95" customHeight="1" x14ac:dyDescent="0.2">
      <c r="A463" s="533"/>
      <c r="B463" s="533"/>
      <c r="C463" s="533"/>
      <c r="D463" s="594"/>
      <c r="E463" s="629"/>
      <c r="F463" s="630"/>
      <c r="G463" s="630"/>
      <c r="H463" s="629"/>
      <c r="I463" s="533"/>
      <c r="J463" s="533"/>
      <c r="K463" s="533"/>
      <c r="L463" s="532"/>
      <c r="M463" s="631"/>
      <c r="N463" s="533"/>
      <c r="O463" s="533"/>
      <c r="P463" s="533"/>
      <c r="Q463" s="533"/>
      <c r="R463" s="533"/>
      <c r="S463" s="533"/>
      <c r="T463" s="533"/>
      <c r="U463" s="533"/>
      <c r="V463" s="533"/>
      <c r="W463" s="533"/>
      <c r="X463" s="533"/>
      <c r="Y463" s="533"/>
      <c r="Z463" s="533"/>
      <c r="AA463" s="533"/>
      <c r="AB463" s="533"/>
      <c r="AC463" s="533"/>
      <c r="AD463" s="533"/>
      <c r="AE463" s="533"/>
      <c r="AF463" s="533"/>
      <c r="AG463" s="533"/>
      <c r="AH463" s="533"/>
      <c r="AI463" s="533"/>
      <c r="AJ463" s="533"/>
      <c r="AK463" s="533"/>
      <c r="AL463" s="533"/>
      <c r="AM463" s="533"/>
      <c r="AN463" s="533"/>
      <c r="AO463" s="533"/>
    </row>
    <row r="464" spans="1:41" ht="12.95" customHeight="1" x14ac:dyDescent="0.2">
      <c r="A464" s="533"/>
      <c r="B464" s="533"/>
      <c r="C464" s="533"/>
      <c r="D464" s="594"/>
      <c r="E464" s="629"/>
      <c r="F464" s="630"/>
      <c r="G464" s="630"/>
      <c r="H464" s="629"/>
      <c r="I464" s="533"/>
      <c r="J464" s="533"/>
      <c r="K464" s="533"/>
      <c r="L464" s="532"/>
      <c r="M464" s="631"/>
      <c r="N464" s="533"/>
      <c r="O464" s="533"/>
      <c r="P464" s="533"/>
      <c r="Q464" s="533"/>
      <c r="R464" s="533"/>
      <c r="S464" s="533"/>
      <c r="T464" s="533"/>
      <c r="U464" s="533"/>
      <c r="V464" s="533"/>
      <c r="W464" s="533"/>
      <c r="X464" s="533"/>
      <c r="Y464" s="533"/>
      <c r="Z464" s="533"/>
      <c r="AA464" s="533"/>
      <c r="AB464" s="533"/>
      <c r="AC464" s="533"/>
      <c r="AD464" s="533"/>
      <c r="AE464" s="533"/>
      <c r="AF464" s="533"/>
      <c r="AG464" s="533"/>
      <c r="AH464" s="533"/>
      <c r="AI464" s="533"/>
      <c r="AJ464" s="533"/>
      <c r="AK464" s="533"/>
      <c r="AL464" s="533"/>
      <c r="AM464" s="533"/>
      <c r="AN464" s="533"/>
      <c r="AO464" s="533"/>
    </row>
    <row r="465" spans="1:41" ht="12.95" customHeight="1" x14ac:dyDescent="0.2">
      <c r="A465" s="533"/>
      <c r="B465" s="533"/>
      <c r="C465" s="533"/>
      <c r="D465" s="594"/>
      <c r="E465" s="629"/>
      <c r="F465" s="630"/>
      <c r="G465" s="630"/>
      <c r="H465" s="629"/>
      <c r="I465" s="533"/>
      <c r="J465" s="533"/>
      <c r="K465" s="533"/>
      <c r="L465" s="532"/>
      <c r="M465" s="631"/>
      <c r="N465" s="533"/>
      <c r="O465" s="533"/>
      <c r="P465" s="533"/>
      <c r="Q465" s="533"/>
      <c r="R465" s="533"/>
      <c r="S465" s="533"/>
      <c r="T465" s="533"/>
      <c r="U465" s="533"/>
      <c r="V465" s="533"/>
      <c r="W465" s="533"/>
      <c r="X465" s="533"/>
      <c r="Y465" s="533"/>
      <c r="Z465" s="533"/>
      <c r="AA465" s="533"/>
      <c r="AB465" s="533"/>
      <c r="AC465" s="533"/>
      <c r="AD465" s="533"/>
      <c r="AE465" s="533"/>
      <c r="AF465" s="533"/>
      <c r="AG465" s="533"/>
      <c r="AH465" s="533"/>
      <c r="AI465" s="533"/>
      <c r="AJ465" s="533"/>
      <c r="AK465" s="533"/>
      <c r="AL465" s="533"/>
      <c r="AM465" s="533"/>
      <c r="AN465" s="533"/>
      <c r="AO465" s="533"/>
    </row>
    <row r="466" spans="1:41" ht="12.95" customHeight="1" x14ac:dyDescent="0.2">
      <c r="A466" s="533"/>
      <c r="B466" s="533"/>
      <c r="C466" s="533"/>
      <c r="D466" s="594"/>
      <c r="E466" s="629"/>
      <c r="F466" s="630"/>
      <c r="G466" s="630"/>
      <c r="H466" s="629"/>
      <c r="I466" s="533"/>
      <c r="J466" s="533"/>
      <c r="K466" s="533"/>
      <c r="L466" s="532"/>
      <c r="M466" s="631"/>
      <c r="N466" s="533"/>
      <c r="O466" s="533"/>
      <c r="P466" s="533"/>
      <c r="Q466" s="533"/>
      <c r="R466" s="533"/>
      <c r="S466" s="533"/>
      <c r="T466" s="533"/>
      <c r="U466" s="533"/>
      <c r="V466" s="533"/>
      <c r="W466" s="533"/>
      <c r="X466" s="533"/>
      <c r="Y466" s="533"/>
      <c r="Z466" s="533"/>
      <c r="AA466" s="533"/>
      <c r="AB466" s="533"/>
      <c r="AC466" s="533"/>
      <c r="AD466" s="533"/>
      <c r="AE466" s="533"/>
      <c r="AF466" s="533"/>
      <c r="AG466" s="533"/>
      <c r="AH466" s="533"/>
      <c r="AI466" s="533"/>
      <c r="AJ466" s="533"/>
      <c r="AK466" s="533"/>
      <c r="AL466" s="533"/>
      <c r="AM466" s="533"/>
      <c r="AN466" s="533"/>
      <c r="AO466" s="533"/>
    </row>
    <row r="467" spans="1:41" ht="12.95" customHeight="1" x14ac:dyDescent="0.2">
      <c r="A467" s="533"/>
      <c r="B467" s="533"/>
      <c r="C467" s="533"/>
      <c r="D467" s="594"/>
      <c r="E467" s="629"/>
      <c r="F467" s="630"/>
      <c r="G467" s="630"/>
      <c r="H467" s="629"/>
      <c r="I467" s="533"/>
      <c r="J467" s="533"/>
      <c r="K467" s="533"/>
      <c r="L467" s="532"/>
      <c r="M467" s="631"/>
      <c r="N467" s="533"/>
      <c r="O467" s="533"/>
      <c r="P467" s="533"/>
      <c r="Q467" s="533"/>
      <c r="R467" s="533"/>
      <c r="S467" s="533"/>
      <c r="T467" s="533"/>
      <c r="U467" s="533"/>
      <c r="V467" s="533"/>
      <c r="W467" s="533"/>
      <c r="X467" s="533"/>
      <c r="Y467" s="533"/>
      <c r="Z467" s="533"/>
      <c r="AA467" s="533"/>
      <c r="AB467" s="533"/>
      <c r="AC467" s="533"/>
      <c r="AD467" s="533"/>
      <c r="AE467" s="533"/>
      <c r="AF467" s="533"/>
      <c r="AG467" s="533"/>
      <c r="AH467" s="533"/>
      <c r="AI467" s="533"/>
      <c r="AJ467" s="533"/>
      <c r="AK467" s="533"/>
      <c r="AL467" s="533"/>
      <c r="AM467" s="533"/>
      <c r="AN467" s="533"/>
      <c r="AO467" s="533"/>
    </row>
    <row r="468" spans="1:41" ht="12.95" customHeight="1" x14ac:dyDescent="0.2">
      <c r="A468" s="533"/>
      <c r="B468" s="533"/>
      <c r="C468" s="533"/>
      <c r="D468" s="594"/>
      <c r="E468" s="629"/>
      <c r="F468" s="630"/>
      <c r="G468" s="630"/>
      <c r="H468" s="629"/>
      <c r="I468" s="533"/>
      <c r="J468" s="533"/>
      <c r="K468" s="533"/>
      <c r="L468" s="532"/>
      <c r="M468" s="631"/>
      <c r="N468" s="533"/>
      <c r="O468" s="533"/>
      <c r="P468" s="533"/>
      <c r="Q468" s="533"/>
      <c r="R468" s="533"/>
      <c r="S468" s="533"/>
      <c r="T468" s="533"/>
      <c r="U468" s="533"/>
      <c r="V468" s="533"/>
      <c r="W468" s="533"/>
      <c r="X468" s="533"/>
      <c r="Y468" s="533"/>
      <c r="Z468" s="533"/>
      <c r="AA468" s="533"/>
      <c r="AB468" s="533"/>
      <c r="AC468" s="533"/>
      <c r="AD468" s="533"/>
      <c r="AE468" s="533"/>
      <c r="AF468" s="533"/>
      <c r="AG468" s="533"/>
      <c r="AH468" s="533"/>
      <c r="AI468" s="533"/>
      <c r="AJ468" s="533"/>
      <c r="AK468" s="533"/>
      <c r="AL468" s="533"/>
      <c r="AM468" s="533"/>
      <c r="AN468" s="533"/>
      <c r="AO468" s="533"/>
    </row>
    <row r="469" spans="1:41" ht="12.95" customHeight="1" x14ac:dyDescent="0.2">
      <c r="A469" s="533"/>
      <c r="B469" s="533"/>
      <c r="C469" s="533"/>
      <c r="D469" s="594"/>
      <c r="E469" s="629"/>
      <c r="F469" s="630"/>
      <c r="G469" s="630"/>
      <c r="H469" s="629"/>
      <c r="I469" s="533"/>
      <c r="J469" s="533"/>
      <c r="K469" s="533"/>
      <c r="L469" s="532"/>
      <c r="M469" s="631"/>
      <c r="N469" s="533"/>
      <c r="O469" s="533"/>
      <c r="P469" s="533"/>
      <c r="Q469" s="533"/>
      <c r="R469" s="533"/>
      <c r="S469" s="533"/>
      <c r="T469" s="533"/>
      <c r="U469" s="533"/>
      <c r="V469" s="533"/>
      <c r="W469" s="533"/>
      <c r="X469" s="533"/>
      <c r="Y469" s="533"/>
      <c r="Z469" s="533"/>
      <c r="AA469" s="533"/>
      <c r="AB469" s="533"/>
      <c r="AC469" s="533"/>
      <c r="AD469" s="533"/>
      <c r="AE469" s="533"/>
      <c r="AF469" s="533"/>
      <c r="AG469" s="533"/>
      <c r="AH469" s="533"/>
      <c r="AI469" s="533"/>
      <c r="AJ469" s="533"/>
      <c r="AK469" s="533"/>
      <c r="AL469" s="533"/>
      <c r="AM469" s="533"/>
      <c r="AN469" s="533"/>
      <c r="AO469" s="533"/>
    </row>
    <row r="470" spans="1:41" ht="12.95" customHeight="1" x14ac:dyDescent="0.2">
      <c r="A470" s="533"/>
      <c r="B470" s="533"/>
      <c r="C470" s="533"/>
      <c r="D470" s="594"/>
      <c r="E470" s="629"/>
      <c r="F470" s="630"/>
      <c r="G470" s="630"/>
      <c r="H470" s="629"/>
      <c r="I470" s="533"/>
      <c r="J470" s="533"/>
      <c r="K470" s="533"/>
      <c r="L470" s="532"/>
      <c r="M470" s="631"/>
      <c r="N470" s="533"/>
      <c r="O470" s="533"/>
      <c r="P470" s="533"/>
      <c r="Q470" s="533"/>
      <c r="R470" s="533"/>
      <c r="S470" s="533"/>
      <c r="T470" s="533"/>
      <c r="U470" s="533"/>
      <c r="V470" s="533"/>
      <c r="W470" s="533"/>
      <c r="X470" s="533"/>
      <c r="Y470" s="533"/>
      <c r="Z470" s="533"/>
      <c r="AA470" s="533"/>
      <c r="AB470" s="533"/>
      <c r="AC470" s="533"/>
      <c r="AD470" s="533"/>
      <c r="AE470" s="533"/>
      <c r="AF470" s="533"/>
      <c r="AG470" s="533"/>
      <c r="AH470" s="533"/>
      <c r="AI470" s="533"/>
      <c r="AJ470" s="533"/>
      <c r="AK470" s="533"/>
      <c r="AL470" s="533"/>
      <c r="AM470" s="533"/>
      <c r="AN470" s="533"/>
      <c r="AO470" s="533"/>
    </row>
    <row r="471" spans="1:41" ht="12.95" customHeight="1" x14ac:dyDescent="0.2">
      <c r="A471" s="533"/>
      <c r="B471" s="533"/>
      <c r="C471" s="533"/>
      <c r="D471" s="594"/>
      <c r="E471" s="629"/>
      <c r="F471" s="630"/>
      <c r="G471" s="630"/>
      <c r="H471" s="629"/>
      <c r="I471" s="533"/>
      <c r="J471" s="533"/>
      <c r="K471" s="533"/>
      <c r="L471" s="532"/>
      <c r="M471" s="631"/>
      <c r="N471" s="533"/>
      <c r="O471" s="533"/>
      <c r="P471" s="533"/>
      <c r="Q471" s="533"/>
      <c r="R471" s="533"/>
      <c r="S471" s="533"/>
      <c r="T471" s="533"/>
      <c r="U471" s="533"/>
      <c r="V471" s="533"/>
      <c r="W471" s="533"/>
      <c r="X471" s="533"/>
      <c r="Y471" s="533"/>
      <c r="Z471" s="533"/>
      <c r="AA471" s="533"/>
      <c r="AB471" s="533"/>
      <c r="AC471" s="533"/>
      <c r="AD471" s="533"/>
      <c r="AE471" s="533"/>
      <c r="AF471" s="533"/>
      <c r="AG471" s="533"/>
      <c r="AH471" s="533"/>
      <c r="AI471" s="533"/>
      <c r="AJ471" s="533"/>
      <c r="AK471" s="533"/>
      <c r="AL471" s="533"/>
      <c r="AM471" s="533"/>
      <c r="AN471" s="533"/>
      <c r="AO471" s="533"/>
    </row>
    <row r="472" spans="1:41" ht="12.95" customHeight="1" x14ac:dyDescent="0.2">
      <c r="A472" s="533"/>
      <c r="B472" s="533"/>
      <c r="C472" s="533"/>
      <c r="D472" s="594"/>
      <c r="E472" s="629"/>
      <c r="F472" s="630"/>
      <c r="G472" s="630"/>
      <c r="H472" s="629"/>
      <c r="I472" s="533"/>
      <c r="J472" s="533"/>
      <c r="K472" s="533"/>
      <c r="L472" s="532"/>
      <c r="M472" s="631"/>
      <c r="N472" s="533"/>
      <c r="O472" s="533"/>
      <c r="P472" s="533"/>
      <c r="Q472" s="533"/>
      <c r="R472" s="533"/>
      <c r="S472" s="533"/>
      <c r="T472" s="533"/>
      <c r="U472" s="533"/>
      <c r="V472" s="533"/>
      <c r="W472" s="533"/>
      <c r="X472" s="533"/>
      <c r="Y472" s="533"/>
      <c r="Z472" s="533"/>
      <c r="AA472" s="533"/>
      <c r="AB472" s="533"/>
      <c r="AC472" s="533"/>
      <c r="AD472" s="533"/>
      <c r="AE472" s="533"/>
      <c r="AF472" s="533"/>
      <c r="AG472" s="533"/>
      <c r="AH472" s="533"/>
      <c r="AI472" s="533"/>
      <c r="AJ472" s="533"/>
      <c r="AK472" s="533"/>
      <c r="AL472" s="533"/>
      <c r="AM472" s="533"/>
      <c r="AN472" s="533"/>
      <c r="AO472" s="533"/>
    </row>
    <row r="473" spans="1:41" ht="12.95" customHeight="1" x14ac:dyDescent="0.2">
      <c r="A473" s="533"/>
      <c r="B473" s="533"/>
      <c r="C473" s="533"/>
      <c r="D473" s="594"/>
      <c r="E473" s="629"/>
      <c r="F473" s="630"/>
      <c r="G473" s="630"/>
      <c r="H473" s="629"/>
      <c r="I473" s="533"/>
      <c r="J473" s="533"/>
      <c r="K473" s="533"/>
      <c r="L473" s="532"/>
      <c r="M473" s="631"/>
      <c r="N473" s="533"/>
      <c r="O473" s="533"/>
      <c r="P473" s="533"/>
      <c r="Q473" s="533"/>
      <c r="R473" s="533"/>
      <c r="S473" s="533"/>
      <c r="T473" s="533"/>
      <c r="U473" s="533"/>
      <c r="V473" s="533"/>
      <c r="W473" s="533"/>
      <c r="X473" s="533"/>
      <c r="Y473" s="533"/>
      <c r="Z473" s="533"/>
      <c r="AA473" s="533"/>
      <c r="AB473" s="533"/>
      <c r="AC473" s="533"/>
      <c r="AD473" s="533"/>
      <c r="AE473" s="533"/>
      <c r="AF473" s="533"/>
      <c r="AG473" s="533"/>
      <c r="AH473" s="533"/>
      <c r="AI473" s="533"/>
      <c r="AJ473" s="533"/>
      <c r="AK473" s="533"/>
      <c r="AL473" s="533"/>
      <c r="AM473" s="533"/>
      <c r="AN473" s="533"/>
      <c r="AO473" s="533"/>
    </row>
    <row r="474" spans="1:41" ht="12.95" customHeight="1" x14ac:dyDescent="0.2">
      <c r="A474" s="533"/>
      <c r="B474" s="533"/>
      <c r="C474" s="533"/>
      <c r="D474" s="594"/>
      <c r="E474" s="629"/>
      <c r="F474" s="630"/>
      <c r="G474" s="630"/>
      <c r="H474" s="629"/>
      <c r="I474" s="533"/>
      <c r="J474" s="533"/>
      <c r="K474" s="533"/>
      <c r="L474" s="532"/>
      <c r="M474" s="631"/>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row>
    <row r="475" spans="1:41" ht="12.95" customHeight="1" x14ac:dyDescent="0.2">
      <c r="A475" s="533"/>
      <c r="B475" s="533"/>
      <c r="C475" s="533"/>
      <c r="D475" s="594"/>
      <c r="E475" s="629"/>
      <c r="F475" s="630"/>
      <c r="G475" s="630"/>
      <c r="H475" s="629"/>
      <c r="I475" s="533"/>
      <c r="J475" s="533"/>
      <c r="K475" s="533"/>
      <c r="L475" s="532"/>
      <c r="M475" s="631"/>
      <c r="N475" s="533"/>
      <c r="O475" s="533"/>
      <c r="P475" s="533"/>
      <c r="Q475" s="533"/>
      <c r="R475" s="533"/>
      <c r="S475" s="533"/>
      <c r="T475" s="533"/>
      <c r="U475" s="533"/>
      <c r="V475" s="533"/>
      <c r="W475" s="533"/>
      <c r="X475" s="533"/>
      <c r="Y475" s="533"/>
      <c r="Z475" s="533"/>
      <c r="AA475" s="533"/>
      <c r="AB475" s="533"/>
      <c r="AC475" s="533"/>
      <c r="AD475" s="533"/>
      <c r="AE475" s="533"/>
      <c r="AF475" s="533"/>
      <c r="AG475" s="533"/>
      <c r="AH475" s="533"/>
      <c r="AI475" s="533"/>
      <c r="AJ475" s="533"/>
      <c r="AK475" s="533"/>
      <c r="AL475" s="533"/>
      <c r="AM475" s="533"/>
      <c r="AN475" s="533"/>
      <c r="AO475" s="533"/>
    </row>
    <row r="476" spans="1:41" ht="12.95" customHeight="1" x14ac:dyDescent="0.2">
      <c r="A476" s="533"/>
      <c r="B476" s="533"/>
      <c r="C476" s="533"/>
      <c r="D476" s="594"/>
      <c r="E476" s="629"/>
      <c r="F476" s="630"/>
      <c r="G476" s="630"/>
      <c r="H476" s="629"/>
      <c r="I476" s="533"/>
      <c r="J476" s="533"/>
      <c r="K476" s="533"/>
      <c r="L476" s="532"/>
      <c r="M476" s="631"/>
      <c r="N476" s="533"/>
      <c r="O476" s="533"/>
      <c r="P476" s="533"/>
      <c r="Q476" s="533"/>
      <c r="R476" s="533"/>
      <c r="S476" s="533"/>
      <c r="T476" s="533"/>
      <c r="U476" s="533"/>
      <c r="V476" s="533"/>
      <c r="W476" s="533"/>
      <c r="X476" s="533"/>
      <c r="Y476" s="533"/>
      <c r="Z476" s="533"/>
      <c r="AA476" s="533"/>
      <c r="AB476" s="533"/>
      <c r="AC476" s="533"/>
      <c r="AD476" s="533"/>
      <c r="AE476" s="533"/>
      <c r="AF476" s="533"/>
      <c r="AG476" s="533"/>
      <c r="AH476" s="533"/>
      <c r="AI476" s="533"/>
      <c r="AJ476" s="533"/>
      <c r="AK476" s="533"/>
      <c r="AL476" s="533"/>
      <c r="AM476" s="533"/>
      <c r="AN476" s="533"/>
      <c r="AO476" s="533"/>
    </row>
    <row r="477" spans="1:41" ht="12.95" customHeight="1" x14ac:dyDescent="0.2">
      <c r="A477" s="533"/>
      <c r="B477" s="533"/>
      <c r="C477" s="533"/>
      <c r="D477" s="594"/>
      <c r="E477" s="629"/>
      <c r="F477" s="630"/>
      <c r="G477" s="630"/>
      <c r="H477" s="629"/>
      <c r="I477" s="533"/>
      <c r="J477" s="533"/>
      <c r="K477" s="533"/>
      <c r="L477" s="532"/>
      <c r="M477" s="631"/>
      <c r="N477" s="533"/>
      <c r="O477" s="533"/>
      <c r="P477" s="533"/>
      <c r="Q477" s="533"/>
      <c r="R477" s="533"/>
      <c r="S477" s="533"/>
      <c r="T477" s="533"/>
      <c r="U477" s="533"/>
      <c r="V477" s="533"/>
      <c r="W477" s="533"/>
      <c r="X477" s="533"/>
      <c r="Y477" s="533"/>
      <c r="Z477" s="533"/>
      <c r="AA477" s="533"/>
      <c r="AB477" s="533"/>
      <c r="AC477" s="533"/>
      <c r="AD477" s="533"/>
      <c r="AE477" s="533"/>
      <c r="AF477" s="533"/>
      <c r="AG477" s="533"/>
      <c r="AH477" s="533"/>
      <c r="AI477" s="533"/>
      <c r="AJ477" s="533"/>
      <c r="AK477" s="533"/>
      <c r="AL477" s="533"/>
      <c r="AM477" s="533"/>
      <c r="AN477" s="533"/>
      <c r="AO477" s="533"/>
    </row>
    <row r="478" spans="1:41" ht="12.95" customHeight="1" x14ac:dyDescent="0.2">
      <c r="A478" s="533"/>
      <c r="B478" s="533"/>
      <c r="C478" s="533"/>
      <c r="D478" s="594"/>
      <c r="E478" s="629"/>
      <c r="F478" s="630"/>
      <c r="G478" s="630"/>
      <c r="H478" s="629"/>
      <c r="I478" s="533"/>
      <c r="J478" s="533"/>
      <c r="K478" s="533"/>
      <c r="L478" s="532"/>
      <c r="M478" s="631"/>
      <c r="N478" s="533"/>
      <c r="O478" s="533"/>
      <c r="P478" s="533"/>
      <c r="Q478" s="533"/>
      <c r="R478" s="533"/>
      <c r="S478" s="533"/>
      <c r="T478" s="533"/>
      <c r="U478" s="533"/>
      <c r="V478" s="533"/>
      <c r="W478" s="533"/>
      <c r="X478" s="533"/>
      <c r="Y478" s="533"/>
      <c r="Z478" s="533"/>
      <c r="AA478" s="533"/>
      <c r="AB478" s="533"/>
      <c r="AC478" s="533"/>
      <c r="AD478" s="533"/>
      <c r="AE478" s="533"/>
      <c r="AF478" s="533"/>
      <c r="AG478" s="533"/>
      <c r="AH478" s="533"/>
      <c r="AI478" s="533"/>
      <c r="AJ478" s="533"/>
      <c r="AK478" s="533"/>
      <c r="AL478" s="533"/>
      <c r="AM478" s="533"/>
      <c r="AN478" s="533"/>
      <c r="AO478" s="533"/>
    </row>
    <row r="479" spans="1:41" ht="12.95" customHeight="1" x14ac:dyDescent="0.2">
      <c r="A479" s="533"/>
      <c r="B479" s="533"/>
      <c r="C479" s="533"/>
      <c r="D479" s="594"/>
      <c r="E479" s="629"/>
      <c r="F479" s="630"/>
      <c r="G479" s="630"/>
      <c r="H479" s="629"/>
      <c r="I479" s="533"/>
      <c r="J479" s="533"/>
      <c r="K479" s="533"/>
      <c r="L479" s="532"/>
      <c r="M479" s="631"/>
      <c r="N479" s="533"/>
      <c r="O479" s="533"/>
      <c r="P479" s="533"/>
      <c r="Q479" s="533"/>
      <c r="R479" s="533"/>
      <c r="S479" s="533"/>
      <c r="T479" s="533"/>
      <c r="U479" s="533"/>
      <c r="V479" s="533"/>
      <c r="W479" s="533"/>
      <c r="X479" s="533"/>
      <c r="Y479" s="533"/>
      <c r="Z479" s="533"/>
      <c r="AA479" s="533"/>
      <c r="AB479" s="533"/>
      <c r="AC479" s="533"/>
      <c r="AD479" s="533"/>
      <c r="AE479" s="533"/>
      <c r="AF479" s="533"/>
      <c r="AG479" s="533"/>
      <c r="AH479" s="533"/>
      <c r="AI479" s="533"/>
      <c r="AJ479" s="533"/>
      <c r="AK479" s="533"/>
      <c r="AL479" s="533"/>
      <c r="AM479" s="533"/>
      <c r="AN479" s="533"/>
      <c r="AO479" s="533"/>
    </row>
    <row r="480" spans="1:41" ht="12.95" customHeight="1" x14ac:dyDescent="0.2">
      <c r="A480" s="533"/>
      <c r="B480" s="533"/>
      <c r="C480" s="533"/>
      <c r="D480" s="594"/>
      <c r="E480" s="629"/>
      <c r="F480" s="630"/>
      <c r="G480" s="630"/>
      <c r="H480" s="629"/>
      <c r="I480" s="533"/>
      <c r="J480" s="533"/>
      <c r="K480" s="533"/>
      <c r="L480" s="532"/>
      <c r="M480" s="631"/>
      <c r="N480" s="533"/>
      <c r="O480" s="533"/>
      <c r="P480" s="533"/>
      <c r="Q480" s="533"/>
      <c r="R480" s="533"/>
      <c r="S480" s="533"/>
      <c r="T480" s="533"/>
      <c r="U480" s="533"/>
      <c r="V480" s="533"/>
      <c r="W480" s="533"/>
      <c r="X480" s="533"/>
      <c r="Y480" s="533"/>
      <c r="Z480" s="533"/>
      <c r="AA480" s="533"/>
      <c r="AB480" s="533"/>
      <c r="AC480" s="533"/>
      <c r="AD480" s="533"/>
      <c r="AE480" s="533"/>
      <c r="AF480" s="533"/>
      <c r="AG480" s="533"/>
      <c r="AH480" s="533"/>
      <c r="AI480" s="533"/>
      <c r="AJ480" s="533"/>
      <c r="AK480" s="533"/>
      <c r="AL480" s="533"/>
      <c r="AM480" s="533"/>
      <c r="AN480" s="533"/>
      <c r="AO480" s="533"/>
    </row>
    <row r="481" spans="1:41" ht="12.95" customHeight="1" x14ac:dyDescent="0.2">
      <c r="A481" s="533"/>
      <c r="B481" s="533"/>
      <c r="C481" s="533"/>
      <c r="D481" s="594"/>
      <c r="E481" s="629"/>
      <c r="F481" s="630"/>
      <c r="G481" s="630"/>
      <c r="H481" s="629"/>
      <c r="I481" s="533"/>
      <c r="J481" s="533"/>
      <c r="K481" s="533"/>
      <c r="L481" s="532"/>
      <c r="M481" s="631"/>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row>
    <row r="482" spans="1:41" ht="12.95" customHeight="1" x14ac:dyDescent="0.2">
      <c r="A482" s="533"/>
      <c r="B482" s="533"/>
      <c r="C482" s="533"/>
      <c r="D482" s="594"/>
      <c r="E482" s="629"/>
      <c r="F482" s="630"/>
      <c r="G482" s="630"/>
      <c r="H482" s="629"/>
      <c r="I482" s="533"/>
      <c r="J482" s="533"/>
      <c r="K482" s="533"/>
      <c r="L482" s="532"/>
      <c r="M482" s="631"/>
      <c r="N482" s="533"/>
      <c r="O482" s="533"/>
      <c r="P482" s="533"/>
      <c r="Q482" s="533"/>
      <c r="R482" s="533"/>
      <c r="S482" s="533"/>
      <c r="T482" s="533"/>
      <c r="U482" s="533"/>
      <c r="V482" s="533"/>
      <c r="W482" s="533"/>
      <c r="X482" s="533"/>
      <c r="Y482" s="533"/>
      <c r="Z482" s="533"/>
      <c r="AA482" s="533"/>
      <c r="AB482" s="533"/>
      <c r="AC482" s="533"/>
      <c r="AD482" s="533"/>
      <c r="AE482" s="533"/>
      <c r="AF482" s="533"/>
      <c r="AG482" s="533"/>
      <c r="AH482" s="533"/>
      <c r="AI482" s="533"/>
      <c r="AJ482" s="533"/>
      <c r="AK482" s="533"/>
      <c r="AL482" s="533"/>
      <c r="AM482" s="533"/>
      <c r="AN482" s="533"/>
      <c r="AO482" s="533"/>
    </row>
    <row r="483" spans="1:41" ht="12.95" customHeight="1" x14ac:dyDescent="0.2">
      <c r="A483" s="533"/>
      <c r="B483" s="533"/>
      <c r="C483" s="533"/>
      <c r="D483" s="594"/>
      <c r="E483" s="629"/>
      <c r="F483" s="630"/>
      <c r="G483" s="630"/>
      <c r="H483" s="629"/>
      <c r="I483" s="533"/>
      <c r="J483" s="533"/>
      <c r="K483" s="533"/>
      <c r="L483" s="532"/>
      <c r="M483" s="631"/>
      <c r="N483" s="533"/>
      <c r="O483" s="533"/>
      <c r="P483" s="533"/>
      <c r="Q483" s="533"/>
      <c r="R483" s="533"/>
      <c r="S483" s="533"/>
      <c r="T483" s="533"/>
      <c r="U483" s="533"/>
      <c r="V483" s="533"/>
      <c r="W483" s="533"/>
      <c r="X483" s="533"/>
      <c r="Y483" s="533"/>
      <c r="Z483" s="533"/>
      <c r="AA483" s="533"/>
      <c r="AB483" s="533"/>
      <c r="AC483" s="533"/>
      <c r="AD483" s="533"/>
      <c r="AE483" s="533"/>
      <c r="AF483" s="533"/>
      <c r="AG483" s="533"/>
      <c r="AH483" s="533"/>
      <c r="AI483" s="533"/>
      <c r="AJ483" s="533"/>
      <c r="AK483" s="533"/>
      <c r="AL483" s="533"/>
      <c r="AM483" s="533"/>
      <c r="AN483" s="533"/>
      <c r="AO483" s="533"/>
    </row>
    <row r="484" spans="1:41" ht="12.95" customHeight="1" x14ac:dyDescent="0.2">
      <c r="A484" s="533"/>
      <c r="B484" s="533"/>
      <c r="C484" s="533"/>
      <c r="D484" s="594"/>
      <c r="E484" s="629"/>
      <c r="F484" s="630"/>
      <c r="G484" s="630"/>
      <c r="H484" s="629"/>
      <c r="I484" s="533"/>
      <c r="J484" s="533"/>
      <c r="K484" s="533"/>
      <c r="L484" s="532"/>
      <c r="M484" s="631"/>
      <c r="N484" s="533"/>
      <c r="O484" s="533"/>
      <c r="P484" s="533"/>
      <c r="Q484" s="533"/>
      <c r="R484" s="533"/>
      <c r="S484" s="533"/>
      <c r="T484" s="533"/>
      <c r="U484" s="533"/>
      <c r="V484" s="533"/>
      <c r="W484" s="533"/>
      <c r="X484" s="533"/>
      <c r="Y484" s="533"/>
      <c r="Z484" s="533"/>
      <c r="AA484" s="533"/>
      <c r="AB484" s="533"/>
      <c r="AC484" s="533"/>
      <c r="AD484" s="533"/>
      <c r="AE484" s="533"/>
      <c r="AF484" s="533"/>
      <c r="AG484" s="533"/>
      <c r="AH484" s="533"/>
      <c r="AI484" s="533"/>
      <c r="AJ484" s="533"/>
      <c r="AK484" s="533"/>
      <c r="AL484" s="533"/>
      <c r="AM484" s="533"/>
      <c r="AN484" s="533"/>
      <c r="AO484" s="533"/>
    </row>
    <row r="485" spans="1:41" ht="12.95" customHeight="1" x14ac:dyDescent="0.2">
      <c r="A485" s="533"/>
      <c r="B485" s="533"/>
      <c r="C485" s="533"/>
      <c r="D485" s="594"/>
      <c r="E485" s="629"/>
      <c r="F485" s="630"/>
      <c r="G485" s="630"/>
      <c r="H485" s="629"/>
      <c r="I485" s="533"/>
      <c r="J485" s="533"/>
      <c r="K485" s="533"/>
      <c r="L485" s="532"/>
      <c r="M485" s="631"/>
      <c r="N485" s="533"/>
      <c r="O485" s="533"/>
      <c r="P485" s="533"/>
      <c r="Q485" s="533"/>
      <c r="R485" s="533"/>
      <c r="S485" s="533"/>
      <c r="T485" s="533"/>
      <c r="U485" s="533"/>
      <c r="V485" s="533"/>
      <c r="W485" s="533"/>
      <c r="X485" s="533"/>
      <c r="Y485" s="533"/>
      <c r="Z485" s="533"/>
      <c r="AA485" s="533"/>
      <c r="AB485" s="533"/>
      <c r="AC485" s="533"/>
      <c r="AD485" s="533"/>
      <c r="AE485" s="533"/>
      <c r="AF485" s="533"/>
      <c r="AG485" s="533"/>
      <c r="AH485" s="533"/>
      <c r="AI485" s="533"/>
      <c r="AJ485" s="533"/>
      <c r="AK485" s="533"/>
      <c r="AL485" s="533"/>
      <c r="AM485" s="533"/>
      <c r="AN485" s="533"/>
      <c r="AO485" s="533"/>
    </row>
    <row r="486" spans="1:41" ht="12.95" customHeight="1" x14ac:dyDescent="0.2">
      <c r="A486" s="533"/>
      <c r="B486" s="533"/>
      <c r="C486" s="533"/>
      <c r="D486" s="594"/>
      <c r="E486" s="629"/>
      <c r="F486" s="630"/>
      <c r="G486" s="630"/>
      <c r="H486" s="629"/>
      <c r="I486" s="533"/>
      <c r="J486" s="533"/>
      <c r="K486" s="533"/>
      <c r="L486" s="532"/>
      <c r="M486" s="631"/>
      <c r="N486" s="533"/>
      <c r="O486" s="533"/>
      <c r="P486" s="533"/>
      <c r="Q486" s="533"/>
      <c r="R486" s="533"/>
      <c r="S486" s="533"/>
      <c r="T486" s="533"/>
      <c r="U486" s="533"/>
      <c r="V486" s="533"/>
      <c r="W486" s="533"/>
      <c r="X486" s="533"/>
      <c r="Y486" s="533"/>
      <c r="Z486" s="533"/>
      <c r="AA486" s="533"/>
      <c r="AB486" s="533"/>
      <c r="AC486" s="533"/>
      <c r="AD486" s="533"/>
      <c r="AE486" s="533"/>
      <c r="AF486" s="533"/>
      <c r="AG486" s="533"/>
      <c r="AH486" s="533"/>
      <c r="AI486" s="533"/>
      <c r="AJ486" s="533"/>
      <c r="AK486" s="533"/>
      <c r="AL486" s="533"/>
      <c r="AM486" s="533"/>
      <c r="AN486" s="533"/>
      <c r="AO486" s="533"/>
    </row>
  </sheetData>
  <mergeCells count="3">
    <mergeCell ref="B4:J4"/>
    <mergeCell ref="B6:J6"/>
    <mergeCell ref="O13:P14"/>
  </mergeCells>
  <phoneticPr fontId="9" type="noConversion"/>
  <dataValidations count="1">
    <dataValidation type="list" allowBlank="1" showInputMessage="1" showErrorMessage="1" sqref="C53 C55" xr:uid="{00000000-0002-0000-0200-000000000000}">
      <formula1>Rotation</formula1>
    </dataValidation>
  </dataValidations>
  <hyperlinks>
    <hyperlink ref="B19" location="B1_TL" display="B1_TL" xr:uid="{00000000-0004-0000-0200-000000000000}"/>
    <hyperlink ref="B22" location="B2_TL" display="B2_TL" xr:uid="{00000000-0004-0000-0200-000001000000}"/>
    <hyperlink ref="B25" location="B3_TL" display="B3_TL" xr:uid="{00000000-0004-0000-0200-000002000000}"/>
    <hyperlink ref="B28" location="B4_TL" display="B4_TL" xr:uid="{00000000-0004-0000-0200-000003000000}"/>
    <hyperlink ref="B31" location="B5_TL" display="B5_TL" xr:uid="{00000000-0004-0000-0200-000004000000}"/>
    <hyperlink ref="B34" location="B6_TL" display="B6_TL" xr:uid="{00000000-0004-0000-0200-000005000000}"/>
    <hyperlink ref="B36" location="B7_TL" display="B7_TL" xr:uid="{00000000-0004-0000-0200-000006000000}"/>
    <hyperlink ref="B38" location="B8_TL" display="B8_TL" xr:uid="{00000000-0004-0000-0200-000007000000}"/>
  </hyperlinks>
  <printOptions horizontalCentered="1"/>
  <pageMargins left="0.7" right="0.7" top="0.75" bottom="0.75" header="0.3" footer="0.3"/>
  <pageSetup scale="61"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J48"/>
  <sheetViews>
    <sheetView zoomScale="90" zoomScaleNormal="90" workbookViewId="0">
      <selection activeCell="H6" sqref="H6:H13"/>
    </sheetView>
  </sheetViews>
  <sheetFormatPr defaultColWidth="18.7109375" defaultRowHeight="12.95" customHeight="1" x14ac:dyDescent="0.2"/>
  <cols>
    <col min="1" max="1" width="24.42578125" customWidth="1"/>
    <col min="2" max="2" width="13" customWidth="1"/>
    <col min="3" max="3" width="20.7109375" customWidth="1"/>
    <col min="4" max="5" width="13" customWidth="1"/>
    <col min="6" max="6" width="14.5703125" customWidth="1"/>
    <col min="7" max="7" width="11" customWidth="1"/>
    <col min="8" max="8" width="15.5703125" customWidth="1"/>
    <col min="9" max="9" width="9.140625" customWidth="1"/>
    <col min="10" max="10" width="14.5703125" customWidth="1"/>
  </cols>
  <sheetData>
    <row r="1" spans="1:10" ht="15" x14ac:dyDescent="0.2">
      <c r="A1" s="98"/>
      <c r="B1" s="99"/>
      <c r="C1" s="100"/>
      <c r="D1" s="100"/>
      <c r="E1" s="100"/>
      <c r="F1" s="229"/>
      <c r="G1" s="100"/>
      <c r="H1" s="100"/>
      <c r="I1" s="226"/>
      <c r="J1" s="93"/>
    </row>
    <row r="2" spans="1:10" ht="15.75" x14ac:dyDescent="0.25">
      <c r="A2" s="101"/>
      <c r="B2" s="102"/>
      <c r="C2" s="103"/>
      <c r="D2" s="94" t="s">
        <v>72</v>
      </c>
      <c r="E2" s="94"/>
      <c r="F2" s="230"/>
      <c r="G2" s="103"/>
      <c r="H2" s="103"/>
      <c r="I2" s="233" t="s">
        <v>109</v>
      </c>
      <c r="J2" s="93"/>
    </row>
    <row r="3" spans="1:10" ht="15.75" x14ac:dyDescent="0.25">
      <c r="A3" s="99"/>
      <c r="B3" s="99"/>
      <c r="C3" s="95" t="s">
        <v>77</v>
      </c>
      <c r="D3" s="94" t="s">
        <v>79</v>
      </c>
      <c r="E3" s="94" t="s">
        <v>201</v>
      </c>
      <c r="F3" s="224" t="s">
        <v>72</v>
      </c>
      <c r="G3" s="97" t="s">
        <v>75</v>
      </c>
      <c r="H3" s="96" t="s">
        <v>73</v>
      </c>
      <c r="I3" s="222" t="s">
        <v>74</v>
      </c>
      <c r="J3" s="93"/>
    </row>
    <row r="4" spans="1:10" ht="15.75" x14ac:dyDescent="0.25">
      <c r="A4" s="99"/>
      <c r="B4" s="99"/>
      <c r="C4" s="95" t="s">
        <v>81</v>
      </c>
      <c r="D4" s="94" t="s">
        <v>2</v>
      </c>
      <c r="E4" s="94" t="s">
        <v>202</v>
      </c>
      <c r="F4" s="224" t="s">
        <v>110</v>
      </c>
      <c r="G4" s="97" t="s">
        <v>80</v>
      </c>
      <c r="H4" s="96" t="s">
        <v>78</v>
      </c>
      <c r="I4" s="222" t="s">
        <v>43</v>
      </c>
      <c r="J4" s="93"/>
    </row>
    <row r="5" spans="1:10" ht="15.75" x14ac:dyDescent="0.25">
      <c r="A5" s="207" t="s">
        <v>38</v>
      </c>
      <c r="B5" s="97"/>
      <c r="C5" s="202" t="s">
        <v>83</v>
      </c>
      <c r="D5" s="202" t="s">
        <v>83</v>
      </c>
      <c r="E5" s="202"/>
      <c r="F5" s="231" t="s">
        <v>83</v>
      </c>
      <c r="G5" s="202" t="s">
        <v>83</v>
      </c>
      <c r="H5" s="208" t="s">
        <v>83</v>
      </c>
      <c r="I5" s="227" t="s">
        <v>83</v>
      </c>
      <c r="J5" s="93"/>
    </row>
    <row r="6" spans="1:10" ht="15" x14ac:dyDescent="0.2">
      <c r="A6" s="203" t="s">
        <v>283</v>
      </c>
      <c r="B6" s="204"/>
      <c r="C6" s="177">
        <f>AVERAGE(0,Summary!H31,Summary!H34)</f>
        <v>293.15000000000003</v>
      </c>
      <c r="D6" s="177">
        <f>AVERAGE(0,Summary!I31,Summary!I34)</f>
        <v>113.74311495833331</v>
      </c>
      <c r="E6" s="177">
        <f>AVERAGE(0,Summary!J31,Summary!J34)</f>
        <v>155.24921975416669</v>
      </c>
      <c r="F6" s="232">
        <f>AVERAGE(0,Summary!K31,Summary!K34)</f>
        <v>268.9923347125</v>
      </c>
      <c r="G6" s="177">
        <f>AVERAGE(0,Summary!L31,Summary!L34)</f>
        <v>179.4068850416667</v>
      </c>
      <c r="H6" s="177">
        <f>AVERAGE(0,Summary!M31,Summary!M34)</f>
        <v>24.15766528750002</v>
      </c>
      <c r="I6" s="228">
        <f>AVERAGE(0,Summary!N32,Summary!N34)</f>
        <v>37</v>
      </c>
      <c r="J6" s="293" t="s">
        <v>447</v>
      </c>
    </row>
    <row r="7" spans="1:10" ht="15" x14ac:dyDescent="0.2">
      <c r="A7" s="205" t="s">
        <v>284</v>
      </c>
      <c r="B7" s="205"/>
      <c r="C7" s="178">
        <f>AVERAGE(0,Summary!H31,Summary!H38)</f>
        <v>281.15000000000003</v>
      </c>
      <c r="D7" s="178">
        <f>AVERAGE(0,Summary!I31,Summary!I38)</f>
        <v>109.23551105208333</v>
      </c>
      <c r="E7" s="178">
        <f>AVERAGE(0,Summary!J31,Summary!J38)</f>
        <v>151.58255308750003</v>
      </c>
      <c r="F7" s="225">
        <f>AVERAGE(0,Summary!K31,Summary!K38)</f>
        <v>260.81806413958333</v>
      </c>
      <c r="G7" s="178">
        <f>AVERAGE(0,Summary!L31,Summary!L38)</f>
        <v>171.91448894791668</v>
      </c>
      <c r="H7" s="178">
        <f>AVERAGE(0,Summary!M31,Summary!M38)</f>
        <v>20.331935860416689</v>
      </c>
      <c r="I7" s="223">
        <f>AVERAGE(0,Summary!N31,Summary!N38)</f>
        <v>64.666666666666671</v>
      </c>
      <c r="J7" s="293" t="s">
        <v>448</v>
      </c>
    </row>
    <row r="8" spans="1:10" ht="15" x14ac:dyDescent="0.2">
      <c r="A8" s="205" t="s">
        <v>285</v>
      </c>
      <c r="B8" s="205"/>
      <c r="C8" s="179">
        <f>AVERAGE(0,Summary!H31,Summary!H36)</f>
        <v>319.2</v>
      </c>
      <c r="D8" s="179">
        <f>AVERAGE(0,Summary!I31,Summary!I36)</f>
        <v>116.56824516666666</v>
      </c>
      <c r="E8" s="179">
        <f>AVERAGE(0,Summary!J31,Summary!J36)</f>
        <v>164.24921975416669</v>
      </c>
      <c r="F8" s="225">
        <f>AVERAGE(0,Summary!K31,Summary!K36)</f>
        <v>280.81746492083334</v>
      </c>
      <c r="G8" s="179">
        <f>AVERAGE(0,Summary!L31,Summary!L36)</f>
        <v>202.63175483333336</v>
      </c>
      <c r="H8" s="179">
        <f>AVERAGE(0,Summary!M31,Summary!M36)</f>
        <v>38.382535079166665</v>
      </c>
      <c r="I8" s="223">
        <f>AVERAGE(0,Summary!N31,Summary!N36)</f>
        <v>75.333333333333329</v>
      </c>
      <c r="J8" s="293" t="s">
        <v>449</v>
      </c>
    </row>
    <row r="9" spans="1:10" ht="15" x14ac:dyDescent="0.2">
      <c r="A9" s="206" t="s">
        <v>289</v>
      </c>
      <c r="B9" s="205"/>
      <c r="C9" s="178">
        <f>AVERAGE(0,Summary!H22,Summary!H25)</f>
        <v>296.15000000000003</v>
      </c>
      <c r="D9" s="178">
        <f>AVERAGE(0,Summary!I22,Summary!I25)</f>
        <v>119.04282215530304</v>
      </c>
      <c r="E9" s="178">
        <f>AVERAGE(0,Summary!J22,Summary!J25)</f>
        <v>153.66255308750002</v>
      </c>
      <c r="F9" s="225">
        <f>AVERAGE(0,Summary!K22,Summary!K25)</f>
        <v>272.70537524280303</v>
      </c>
      <c r="G9" s="178">
        <f>AVERAGE(0,Summary!L22,Summary!L25)</f>
        <v>177.10717784469696</v>
      </c>
      <c r="H9" s="178">
        <f>AVERAGE(0,Summary!M22,Summary!M25)</f>
        <v>23.444624757196987</v>
      </c>
      <c r="I9" s="223">
        <f>AVERAGE(0,Summary!N22,Summary!N25)</f>
        <v>66.333333333333329</v>
      </c>
      <c r="J9" s="293" t="s">
        <v>450</v>
      </c>
    </row>
    <row r="10" spans="1:10" ht="15" x14ac:dyDescent="0.2">
      <c r="A10" s="206" t="s">
        <v>286</v>
      </c>
      <c r="B10" s="205"/>
      <c r="C10" s="178">
        <f>AVERAGE(0,Summary!H28,Summary!H34)</f>
        <v>273.92</v>
      </c>
      <c r="D10" s="178">
        <f>AVERAGE(0,Summary!I28,Summary!I34)</f>
        <v>112.81647224999999</v>
      </c>
      <c r="E10" s="178">
        <f>AVERAGE(0,Summary!J28,Summary!J34)</f>
        <v>146.11527560312501</v>
      </c>
      <c r="F10" s="225">
        <f>AVERAGE(0,Summary!K28,Summary!K34)</f>
        <v>258.93174785312499</v>
      </c>
      <c r="G10" s="178">
        <f>AVERAGE(0,Summary!L28,Summary!L34)</f>
        <v>161.10352775000001</v>
      </c>
      <c r="H10" s="178">
        <f>AVERAGE(0,Summary!M28,Summary!M34)</f>
        <v>14.98825214687499</v>
      </c>
      <c r="I10" s="223">
        <f>AVERAGE(0,Summary!N28,Summary!N34)</f>
        <v>62</v>
      </c>
      <c r="J10" s="293" t="s">
        <v>451</v>
      </c>
    </row>
    <row r="11" spans="1:10" ht="15" x14ac:dyDescent="0.2">
      <c r="A11" s="206" t="s">
        <v>287</v>
      </c>
      <c r="B11" s="205"/>
      <c r="C11" s="178">
        <f>AVERAGE(0,Summary!H28,Summary!H38)</f>
        <v>261.92</v>
      </c>
      <c r="D11" s="178">
        <f>AVERAGE(0,Summary!I28,Summary!I38)</f>
        <v>108.30886834375001</v>
      </c>
      <c r="E11" s="178">
        <f>AVERAGE(0,Summary!J28,Summary!J38)</f>
        <v>142.44860893645833</v>
      </c>
      <c r="F11" s="225">
        <f>AVERAGE(0,Summary!K28,Summary!K38)</f>
        <v>250.75747728020835</v>
      </c>
      <c r="G11" s="178">
        <f>AVERAGE(0,Summary!L28,Summary!L38)</f>
        <v>153.61113165625</v>
      </c>
      <c r="H11" s="178">
        <f>AVERAGE(0,Summary!M28,Summary!M38)</f>
        <v>11.162522719791658</v>
      </c>
      <c r="I11" s="223">
        <f>AVERAGE(0,Summary!N28,Summary!N38)</f>
        <v>59</v>
      </c>
      <c r="J11" s="293" t="s">
        <v>452</v>
      </c>
    </row>
    <row r="12" spans="1:10" ht="15" x14ac:dyDescent="0.2">
      <c r="A12" s="206" t="s">
        <v>288</v>
      </c>
      <c r="B12" s="205"/>
      <c r="C12" s="178">
        <f>AVERAGE(0,Summary!H28,Summary!H36)</f>
        <v>299.96999999999997</v>
      </c>
      <c r="D12" s="178">
        <f>AVERAGE(0,Summary!I28,Summary!I36)</f>
        <v>115.64160245833334</v>
      </c>
      <c r="E12" s="178">
        <f>AVERAGE(0,Summary!J28,Summary!J36)</f>
        <v>155.11527560312501</v>
      </c>
      <c r="F12" s="225">
        <f>AVERAGE(0,Summary!K28,Summary!K36)</f>
        <v>270.75687806145834</v>
      </c>
      <c r="G12" s="178">
        <f>AVERAGE(0,Summary!L28,Summary!L36)</f>
        <v>184.32839754166665</v>
      </c>
      <c r="H12" s="178">
        <f>AVERAGE(0,Summary!M28,Summary!M36)</f>
        <v>29.213121938541633</v>
      </c>
      <c r="I12" s="223">
        <f>AVERAGE(0,Summary!N28,Summary!N36)</f>
        <v>69.666666666666671</v>
      </c>
      <c r="J12" s="293" t="s">
        <v>453</v>
      </c>
    </row>
    <row r="13" spans="1:10" ht="15" x14ac:dyDescent="0.2">
      <c r="A13" s="205" t="s">
        <v>290</v>
      </c>
      <c r="B13" s="205"/>
      <c r="C13" s="179">
        <f>AVERAGE(0,Summary!H19,Summary!H25)</f>
        <v>276.92</v>
      </c>
      <c r="D13" s="179">
        <f>AVERAGE(0,Summary!I19,Summary!I25)</f>
        <v>119.78517944696971</v>
      </c>
      <c r="E13" s="179">
        <f>AVERAGE(0,Summary!J19,Summary!J25)</f>
        <v>144.52860893645834</v>
      </c>
      <c r="F13" s="225">
        <f>AVERAGE(0,Summary!K19,Summary!K25)</f>
        <v>264.31378838342806</v>
      </c>
      <c r="G13" s="179">
        <f>AVERAGE(0,Summary!L19,Summary!L25)</f>
        <v>157.13482055303029</v>
      </c>
      <c r="H13" s="179">
        <f>AVERAGE(0,Summary!M19,Summary!M25)</f>
        <v>12.606211616571954</v>
      </c>
      <c r="I13" s="223">
        <f>AVERAGE(0,Summary!N19,Summary!N25)</f>
        <v>60.666666666666664</v>
      </c>
      <c r="J13" s="293" t="s">
        <v>454</v>
      </c>
    </row>
    <row r="14" spans="1:10" ht="12.75" customHeight="1" x14ac:dyDescent="0.2"/>
    <row r="15" spans="1:10" ht="12.75" customHeight="1" x14ac:dyDescent="0.2"/>
    <row r="16" spans="1:10" ht="12.95" customHeight="1" x14ac:dyDescent="0.2">
      <c r="C16" s="652"/>
      <c r="D16" s="652"/>
      <c r="E16" s="652"/>
      <c r="F16" s="652"/>
      <c r="G16" s="652"/>
      <c r="H16" s="652"/>
      <c r="I16" s="652"/>
    </row>
    <row r="17" spans="1:9" ht="12.95" customHeight="1" x14ac:dyDescent="0.2">
      <c r="C17" s="652"/>
      <c r="D17" s="652"/>
      <c r="E17" s="652"/>
      <c r="F17" s="652"/>
      <c r="G17" s="652"/>
      <c r="H17" s="652"/>
      <c r="I17" s="652"/>
    </row>
    <row r="18" spans="1:9" ht="12.95" customHeight="1" x14ac:dyDescent="0.2">
      <c r="C18" s="652"/>
      <c r="D18" s="652"/>
      <c r="E18" s="652"/>
      <c r="F18" s="652"/>
      <c r="G18" s="652"/>
      <c r="H18" s="652"/>
      <c r="I18" s="652"/>
    </row>
    <row r="19" spans="1:9" ht="12.95" customHeight="1" x14ac:dyDescent="0.2">
      <c r="A19" s="38"/>
      <c r="C19" s="652"/>
      <c r="D19" s="652"/>
      <c r="E19" s="652"/>
      <c r="F19" s="652"/>
      <c r="G19" s="652"/>
      <c r="H19" s="652"/>
      <c r="I19" s="652"/>
    </row>
    <row r="20" spans="1:9" ht="12.95" customHeight="1" x14ac:dyDescent="0.2">
      <c r="C20" s="652"/>
      <c r="D20" s="652"/>
      <c r="E20" s="652"/>
      <c r="F20" s="652"/>
      <c r="G20" s="652"/>
      <c r="H20" s="652"/>
      <c r="I20" s="652"/>
    </row>
    <row r="21" spans="1:9" ht="12.95" customHeight="1" x14ac:dyDescent="0.2">
      <c r="C21" s="653"/>
      <c r="D21" s="653"/>
      <c r="E21" s="653"/>
      <c r="F21" s="653"/>
      <c r="G21" s="653"/>
      <c r="H21" s="653"/>
      <c r="I21" s="653"/>
    </row>
    <row r="22" spans="1:9" ht="12.95" customHeight="1" x14ac:dyDescent="0.2">
      <c r="C22" s="653"/>
      <c r="D22" s="653"/>
      <c r="E22" s="653"/>
      <c r="F22" s="653"/>
      <c r="G22" s="653"/>
      <c r="H22" s="653"/>
      <c r="I22" s="653"/>
    </row>
    <row r="29" spans="1:9" ht="12.95" customHeight="1" x14ac:dyDescent="0.2">
      <c r="A29" s="38"/>
    </row>
    <row r="39" spans="3:9" ht="12.95" customHeight="1" x14ac:dyDescent="0.2">
      <c r="C39" s="652"/>
      <c r="D39" s="652"/>
      <c r="E39" s="652"/>
      <c r="F39" s="652"/>
      <c r="G39" s="652"/>
      <c r="H39" s="652"/>
      <c r="I39" s="652"/>
    </row>
    <row r="40" spans="3:9" ht="12.95" customHeight="1" x14ac:dyDescent="0.2">
      <c r="C40" s="652"/>
      <c r="D40" s="652"/>
      <c r="E40" s="652"/>
      <c r="F40" s="652"/>
      <c r="G40" s="652"/>
      <c r="H40" s="652"/>
      <c r="I40" s="652"/>
    </row>
    <row r="41" spans="3:9" ht="12.95" customHeight="1" x14ac:dyDescent="0.2">
      <c r="C41" s="652"/>
      <c r="D41" s="652"/>
      <c r="E41" s="652"/>
      <c r="F41" s="652"/>
      <c r="G41" s="652"/>
      <c r="H41" s="652"/>
      <c r="I41" s="652"/>
    </row>
    <row r="42" spans="3:9" ht="12.95" customHeight="1" x14ac:dyDescent="0.2">
      <c r="C42" s="652"/>
      <c r="D42" s="652"/>
      <c r="E42" s="652"/>
      <c r="F42" s="652"/>
      <c r="G42" s="652"/>
      <c r="H42" s="652"/>
      <c r="I42" s="652"/>
    </row>
    <row r="43" spans="3:9" ht="12.95" customHeight="1" x14ac:dyDescent="0.2">
      <c r="C43" s="652"/>
      <c r="D43" s="652"/>
      <c r="E43" s="652"/>
      <c r="F43" s="652"/>
      <c r="G43" s="652"/>
      <c r="H43" s="652"/>
      <c r="I43" s="652"/>
    </row>
    <row r="44" spans="3:9" ht="12.95" customHeight="1" x14ac:dyDescent="0.2">
      <c r="C44" s="652"/>
      <c r="D44" s="652"/>
      <c r="E44" s="652"/>
      <c r="F44" s="652"/>
      <c r="G44" s="652"/>
      <c r="H44" s="652"/>
      <c r="I44" s="652"/>
    </row>
    <row r="45" spans="3:9" ht="12.95" customHeight="1" x14ac:dyDescent="0.2">
      <c r="C45" s="652"/>
      <c r="D45" s="652"/>
      <c r="E45" s="652"/>
      <c r="F45" s="652"/>
      <c r="G45" s="652"/>
      <c r="H45" s="652"/>
      <c r="I45" s="652"/>
    </row>
    <row r="46" spans="3:9" ht="12.95" customHeight="1" x14ac:dyDescent="0.2">
      <c r="C46" s="652"/>
      <c r="D46" s="652"/>
      <c r="E46" s="652"/>
      <c r="F46" s="652"/>
      <c r="G46" s="652"/>
      <c r="H46" s="652"/>
      <c r="I46" s="652"/>
    </row>
    <row r="47" spans="3:9" ht="12.95" customHeight="1" x14ac:dyDescent="0.2">
      <c r="C47" s="652"/>
      <c r="D47" s="652"/>
      <c r="E47" s="652"/>
      <c r="F47" s="652"/>
      <c r="G47" s="652"/>
      <c r="H47" s="652"/>
      <c r="I47" s="652"/>
    </row>
    <row r="48" spans="3:9" ht="12.95" customHeight="1" x14ac:dyDescent="0.2">
      <c r="C48" s="652"/>
      <c r="D48" s="652"/>
      <c r="E48" s="652"/>
      <c r="F48" s="652"/>
      <c r="G48" s="652"/>
      <c r="H48" s="652"/>
      <c r="I48" s="652"/>
    </row>
  </sheetData>
  <sortState xmlns:xlrd2="http://schemas.microsoft.com/office/spreadsheetml/2017/richdata2" ref="A35:J42">
    <sortCondition ref="H35:H42"/>
  </sortState>
  <conditionalFormatting sqref="H6:H13">
    <cfRule type="colorScale" priority="3">
      <colorScale>
        <cfvo type="min"/>
        <cfvo type="percentile" val="50"/>
        <cfvo type="max"/>
        <color rgb="FFF8696B"/>
        <color rgb="FFFFEB84"/>
        <color rgb="FF63BE7B"/>
      </colorScale>
    </cfRule>
  </conditionalFormatting>
  <conditionalFormatting sqref="C39:I46">
    <cfRule type="dataBar" priority="1">
      <dataBar>
        <cfvo type="min"/>
        <cfvo type="max"/>
        <color rgb="FF638EC6"/>
      </dataBar>
      <extLst>
        <ext xmlns:x14="http://schemas.microsoft.com/office/spreadsheetml/2009/9/main" uri="{B025F937-C7B1-47D3-B67F-A62EFF666E3E}">
          <x14:id>{6D41A52F-AA46-48D6-B0D2-AF2383BB5644}</x14:id>
        </ext>
      </extLst>
    </cfRule>
  </conditionalFormatting>
  <printOptions headings="1"/>
  <pageMargins left="0.7" right="0.7" top="0.75" bottom="0.75" header="0.3" footer="0.3"/>
  <pageSetup scale="74"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6D41A52F-AA46-48D6-B0D2-AF2383BB5644}">
            <x14:dataBar minLength="0" maxLength="100" border="1" negativeBarBorderColorSameAsPositive="0">
              <x14:cfvo type="autoMin"/>
              <x14:cfvo type="autoMax"/>
              <x14:borderColor rgb="FF638EC6"/>
              <x14:negativeFillColor rgb="FFFF0000"/>
              <x14:negativeBorderColor rgb="FFFF0000"/>
              <x14:axisColor rgb="FF000000"/>
            </x14:dataBar>
          </x14:cfRule>
          <xm:sqref>C39:I46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3300"/>
    <pageSetUpPr autoPageBreaks="0"/>
  </sheetPr>
  <dimension ref="A1:J113"/>
  <sheetViews>
    <sheetView showGridLines="0" topLeftCell="A13" zoomScale="90" zoomScaleNormal="90" zoomScaleSheetLayoutView="100" workbookViewId="0">
      <selection activeCell="G32" sqref="G32"/>
    </sheetView>
  </sheetViews>
  <sheetFormatPr defaultColWidth="18.7109375" defaultRowHeight="12.95" customHeight="1" x14ac:dyDescent="0.2"/>
  <cols>
    <col min="1" max="1" width="3.140625" style="55" customWidth="1"/>
    <col min="2" max="2" width="32.5703125" style="55" customWidth="1"/>
    <col min="3" max="3" width="21.140625" style="301" customWidth="1"/>
    <col min="4" max="4" width="10.7109375" style="405" customWidth="1"/>
    <col min="5" max="5" width="14.7109375" style="55" customWidth="1"/>
    <col min="6" max="6" width="4.5703125" style="55" customWidth="1"/>
    <col min="7" max="10" width="11.42578125" style="55" customWidth="1"/>
    <col min="11" max="16384" width="18.7109375" style="55"/>
  </cols>
  <sheetData>
    <row r="1" spans="2:10" ht="12.75" customHeight="1" x14ac:dyDescent="0.2"/>
    <row r="2" spans="2:10" ht="18" customHeight="1" x14ac:dyDescent="0.2">
      <c r="B2" s="241" t="s">
        <v>211</v>
      </c>
      <c r="C2" s="298"/>
      <c r="D2" s="298"/>
      <c r="E2" s="297"/>
      <c r="F2" s="299"/>
      <c r="G2" s="297"/>
      <c r="H2" s="298"/>
      <c r="I2" s="297"/>
      <c r="J2" s="300"/>
    </row>
    <row r="3" spans="2:10" ht="12.75" x14ac:dyDescent="0.2">
      <c r="B3" s="118" t="s">
        <v>200</v>
      </c>
      <c r="D3" s="55"/>
    </row>
    <row r="4" spans="2:10" ht="12.75" x14ac:dyDescent="0.2">
      <c r="B4" s="661" t="s">
        <v>212</v>
      </c>
      <c r="C4" s="661"/>
      <c r="D4" s="661"/>
      <c r="E4" s="661"/>
      <c r="F4" s="661"/>
      <c r="G4" s="661"/>
      <c r="H4" s="661"/>
      <c r="I4" s="661"/>
      <c r="J4" s="661"/>
    </row>
    <row r="5" spans="2:10" ht="12.75" x14ac:dyDescent="0.2">
      <c r="B5" s="120" t="s">
        <v>213</v>
      </c>
      <c r="C5" s="246"/>
      <c r="D5" s="120"/>
      <c r="E5" s="120"/>
      <c r="F5" s="120"/>
      <c r="G5" s="120"/>
      <c r="H5" s="120"/>
      <c r="I5" s="120"/>
      <c r="J5" s="120"/>
    </row>
    <row r="6" spans="2:10" ht="12.75" x14ac:dyDescent="0.2">
      <c r="B6" s="662" t="s">
        <v>240</v>
      </c>
      <c r="C6" s="662"/>
      <c r="D6" s="662"/>
      <c r="E6" s="662"/>
      <c r="F6" s="662"/>
      <c r="G6" s="662"/>
      <c r="H6" s="662"/>
      <c r="I6" s="662"/>
      <c r="J6" s="662"/>
    </row>
    <row r="7" spans="2:10" ht="18" customHeight="1" x14ac:dyDescent="0.2"/>
    <row r="8" spans="2:10" ht="27.75" customHeight="1" x14ac:dyDescent="0.2">
      <c r="B8" s="665" t="s">
        <v>256</v>
      </c>
      <c r="C8" s="665"/>
      <c r="D8" s="665"/>
      <c r="E8" s="666"/>
    </row>
    <row r="9" spans="2:10" ht="15" customHeight="1" x14ac:dyDescent="0.2">
      <c r="B9" s="406"/>
      <c r="C9" s="407"/>
      <c r="D9" s="408">
        <v>2013</v>
      </c>
      <c r="E9" s="409"/>
    </row>
    <row r="10" spans="2:10" ht="15" customHeight="1" x14ac:dyDescent="0.2">
      <c r="B10" s="410" t="s">
        <v>90</v>
      </c>
      <c r="C10" s="411" t="s">
        <v>42</v>
      </c>
      <c r="D10" s="411" t="s">
        <v>210</v>
      </c>
      <c r="E10" s="412"/>
    </row>
    <row r="11" spans="2:10" ht="15" customHeight="1" x14ac:dyDescent="0.2">
      <c r="B11" s="413" t="s">
        <v>55</v>
      </c>
      <c r="C11" s="414"/>
      <c r="D11" s="415"/>
      <c r="E11" s="416"/>
    </row>
    <row r="12" spans="2:10" ht="15" customHeight="1" x14ac:dyDescent="0.2">
      <c r="B12" s="417" t="s">
        <v>535</v>
      </c>
      <c r="C12" s="414" t="s">
        <v>104</v>
      </c>
      <c r="D12" s="113">
        <v>3.4</v>
      </c>
      <c r="E12" s="418"/>
    </row>
    <row r="13" spans="2:10" ht="15" customHeight="1" x14ac:dyDescent="0.2">
      <c r="B13" s="417" t="s">
        <v>536</v>
      </c>
      <c r="C13" s="414" t="s">
        <v>104</v>
      </c>
      <c r="D13" s="113">
        <v>3.5</v>
      </c>
      <c r="E13" s="418"/>
    </row>
    <row r="14" spans="2:10" ht="15" customHeight="1" x14ac:dyDescent="0.2">
      <c r="B14" s="417"/>
      <c r="C14" s="414"/>
      <c r="D14" s="419"/>
      <c r="E14" s="416"/>
    </row>
    <row r="15" spans="2:10" ht="15" customHeight="1" x14ac:dyDescent="0.2">
      <c r="B15" s="413" t="s">
        <v>69</v>
      </c>
      <c r="C15" s="414"/>
      <c r="D15" s="419"/>
      <c r="E15" s="416"/>
    </row>
    <row r="16" spans="2:10" ht="15" customHeight="1" x14ac:dyDescent="0.2">
      <c r="B16" s="417" t="s">
        <v>183</v>
      </c>
      <c r="C16" s="414" t="s">
        <v>62</v>
      </c>
      <c r="D16" s="113">
        <v>0.24</v>
      </c>
      <c r="E16" s="420"/>
    </row>
    <row r="17" spans="2:5" ht="15" customHeight="1" x14ac:dyDescent="0.2">
      <c r="B17" s="417" t="s">
        <v>184</v>
      </c>
      <c r="C17" s="414" t="s">
        <v>62</v>
      </c>
      <c r="D17" s="113">
        <v>0.3</v>
      </c>
      <c r="E17" s="420"/>
    </row>
    <row r="18" spans="2:5" ht="15" customHeight="1" x14ac:dyDescent="0.2">
      <c r="B18" s="417" t="s">
        <v>292</v>
      </c>
      <c r="C18" s="414" t="s">
        <v>62</v>
      </c>
      <c r="D18" s="113">
        <v>0.25</v>
      </c>
      <c r="E18" s="420"/>
    </row>
    <row r="19" spans="2:5" ht="15" customHeight="1" x14ac:dyDescent="0.2">
      <c r="B19" s="417" t="s">
        <v>301</v>
      </c>
      <c r="C19" s="414" t="s">
        <v>62</v>
      </c>
      <c r="D19" s="113">
        <v>0.27</v>
      </c>
      <c r="E19" s="420"/>
    </row>
    <row r="20" spans="2:5" ht="15" customHeight="1" x14ac:dyDescent="0.2">
      <c r="B20" s="417" t="s">
        <v>433</v>
      </c>
      <c r="C20" s="414" t="s">
        <v>62</v>
      </c>
      <c r="D20" s="113">
        <v>0.24</v>
      </c>
      <c r="E20" s="420"/>
    </row>
    <row r="21" spans="2:5" ht="15" customHeight="1" x14ac:dyDescent="0.2">
      <c r="B21" s="417" t="s">
        <v>300</v>
      </c>
      <c r="C21" s="414" t="s">
        <v>62</v>
      </c>
      <c r="D21" s="113">
        <v>3.5</v>
      </c>
      <c r="E21" s="420"/>
    </row>
    <row r="22" spans="2:5" ht="15" customHeight="1" x14ac:dyDescent="0.2">
      <c r="B22" s="417" t="s">
        <v>500</v>
      </c>
      <c r="C22" s="414" t="s">
        <v>62</v>
      </c>
      <c r="D22" s="113">
        <v>9.5500000000000007</v>
      </c>
      <c r="E22" s="420"/>
    </row>
    <row r="23" spans="2:5" ht="15" customHeight="1" x14ac:dyDescent="0.2">
      <c r="B23" s="417"/>
      <c r="C23" s="414"/>
      <c r="D23" s="419"/>
      <c r="E23" s="420"/>
    </row>
    <row r="24" spans="2:5" ht="15" customHeight="1" x14ac:dyDescent="0.2">
      <c r="B24" s="413" t="s">
        <v>71</v>
      </c>
      <c r="C24" s="414"/>
      <c r="D24" s="419"/>
      <c r="E24" s="420"/>
    </row>
    <row r="25" spans="2:5" ht="15" customHeight="1" x14ac:dyDescent="0.2">
      <c r="B25" s="417" t="s">
        <v>194</v>
      </c>
      <c r="C25" s="414" t="s">
        <v>62</v>
      </c>
      <c r="D25" s="113">
        <v>0.77</v>
      </c>
      <c r="E25" s="418"/>
    </row>
    <row r="26" spans="2:5" ht="15" customHeight="1" x14ac:dyDescent="0.2">
      <c r="B26" s="417" t="s">
        <v>195</v>
      </c>
      <c r="C26" s="414" t="s">
        <v>62</v>
      </c>
      <c r="D26" s="113">
        <v>0.66</v>
      </c>
      <c r="E26" s="418"/>
    </row>
    <row r="27" spans="2:5" ht="15" customHeight="1" x14ac:dyDescent="0.2">
      <c r="B27" s="417" t="s">
        <v>196</v>
      </c>
      <c r="C27" s="414" t="s">
        <v>62</v>
      </c>
      <c r="D27" s="113">
        <v>0.56000000000000005</v>
      </c>
      <c r="E27" s="418"/>
    </row>
    <row r="28" spans="2:5" ht="15" customHeight="1" x14ac:dyDescent="0.2">
      <c r="B28" s="417" t="s">
        <v>197</v>
      </c>
      <c r="C28" s="414" t="s">
        <v>62</v>
      </c>
      <c r="D28" s="113">
        <v>0.36</v>
      </c>
      <c r="E28" s="418"/>
    </row>
    <row r="29" spans="2:5" ht="15" customHeight="1" x14ac:dyDescent="0.2">
      <c r="B29" s="417" t="s">
        <v>185</v>
      </c>
      <c r="C29" s="414" t="s">
        <v>62</v>
      </c>
      <c r="D29" s="113">
        <v>8.1999999999999993</v>
      </c>
      <c r="E29" s="418"/>
    </row>
    <row r="30" spans="2:5" ht="15" customHeight="1" x14ac:dyDescent="0.2">
      <c r="B30" s="417"/>
      <c r="C30" s="414"/>
      <c r="D30" s="419"/>
      <c r="E30" s="418"/>
    </row>
    <row r="31" spans="2:5" ht="15" customHeight="1" x14ac:dyDescent="0.2">
      <c r="B31" s="413" t="s">
        <v>33</v>
      </c>
      <c r="C31" s="414"/>
      <c r="D31" s="419"/>
      <c r="E31" s="420"/>
    </row>
    <row r="32" spans="2:5" ht="15" customHeight="1" x14ac:dyDescent="0.2">
      <c r="B32" s="417" t="s">
        <v>569</v>
      </c>
      <c r="C32" s="414" t="s">
        <v>62</v>
      </c>
      <c r="D32" s="113">
        <v>0.42</v>
      </c>
      <c r="E32" s="420"/>
    </row>
    <row r="33" spans="1:5" ht="15" customHeight="1" x14ac:dyDescent="0.2">
      <c r="B33" s="417" t="s">
        <v>570</v>
      </c>
      <c r="C33" s="414" t="s">
        <v>64</v>
      </c>
      <c r="D33" s="113">
        <f>ROUND(9.45/128,2)</f>
        <v>7.0000000000000007E-2</v>
      </c>
      <c r="E33" s="420"/>
    </row>
    <row r="34" spans="1:5" ht="15" customHeight="1" x14ac:dyDescent="0.2">
      <c r="B34" s="417" t="s">
        <v>0</v>
      </c>
      <c r="C34" s="414" t="s">
        <v>64</v>
      </c>
      <c r="D34" s="113">
        <f>ROUND(AVERAGE(10.5,14.65)/128,2)</f>
        <v>0.1</v>
      </c>
      <c r="E34" s="420"/>
    </row>
    <row r="35" spans="1:5" ht="15" customHeight="1" x14ac:dyDescent="0.2">
      <c r="B35" s="417" t="s">
        <v>49</v>
      </c>
      <c r="C35" s="414" t="s">
        <v>64</v>
      </c>
      <c r="D35" s="113">
        <f>ROUND(36/128,2)</f>
        <v>0.28000000000000003</v>
      </c>
      <c r="E35" s="420"/>
    </row>
    <row r="36" spans="1:5" ht="15" customHeight="1" x14ac:dyDescent="0.2">
      <c r="B36" s="417" t="s">
        <v>99</v>
      </c>
      <c r="C36" s="414" t="s">
        <v>64</v>
      </c>
      <c r="D36" s="113">
        <v>0.19</v>
      </c>
      <c r="E36" s="420"/>
    </row>
    <row r="37" spans="1:5" ht="15" customHeight="1" x14ac:dyDescent="0.2">
      <c r="B37" s="417" t="s">
        <v>566</v>
      </c>
      <c r="C37" s="414" t="s">
        <v>98</v>
      </c>
      <c r="D37" s="113">
        <f>20.15/4</f>
        <v>5.0374999999999996</v>
      </c>
      <c r="E37" s="420"/>
    </row>
    <row r="38" spans="1:5" ht="15" customHeight="1" x14ac:dyDescent="0.2">
      <c r="B38" s="417" t="s">
        <v>577</v>
      </c>
      <c r="C38" s="414" t="s">
        <v>64</v>
      </c>
      <c r="D38" s="113">
        <f>ROUND(17.5/128,2)</f>
        <v>0.14000000000000001</v>
      </c>
      <c r="E38" s="420"/>
    </row>
    <row r="39" spans="1:5" ht="15" customHeight="1" x14ac:dyDescent="0.2">
      <c r="B39" s="417"/>
      <c r="C39" s="414"/>
      <c r="D39" s="419"/>
      <c r="E39" s="420"/>
    </row>
    <row r="40" spans="1:5" ht="15" customHeight="1" x14ac:dyDescent="0.2">
      <c r="B40" s="413" t="s">
        <v>199</v>
      </c>
      <c r="C40" s="414"/>
      <c r="D40" s="419"/>
      <c r="E40" s="420"/>
    </row>
    <row r="41" spans="1:5" ht="15" customHeight="1" x14ac:dyDescent="0.2">
      <c r="B41" s="417" t="s">
        <v>70</v>
      </c>
      <c r="C41" s="414" t="s">
        <v>63</v>
      </c>
      <c r="D41" s="113">
        <v>8.6999999999999993</v>
      </c>
      <c r="E41" s="420"/>
    </row>
    <row r="42" spans="1:5" ht="15" customHeight="1" x14ac:dyDescent="0.2">
      <c r="A42" s="508"/>
      <c r="B42" s="417" t="s">
        <v>455</v>
      </c>
      <c r="C42" s="414" t="s">
        <v>63</v>
      </c>
      <c r="D42" s="113">
        <v>1</v>
      </c>
      <c r="E42" s="420"/>
    </row>
    <row r="43" spans="1:5" ht="15" customHeight="1" x14ac:dyDescent="0.2">
      <c r="B43" s="417" t="s">
        <v>46</v>
      </c>
      <c r="C43" s="414" t="s">
        <v>63</v>
      </c>
      <c r="D43" s="113">
        <v>10</v>
      </c>
      <c r="E43" s="420"/>
    </row>
    <row r="44" spans="1:5" ht="15" customHeight="1" x14ac:dyDescent="0.2">
      <c r="B44" s="417" t="s">
        <v>47</v>
      </c>
      <c r="C44" s="414" t="s">
        <v>63</v>
      </c>
      <c r="D44" s="113">
        <v>2.5</v>
      </c>
      <c r="E44" s="420"/>
    </row>
    <row r="45" spans="1:5" ht="15" customHeight="1" x14ac:dyDescent="0.2">
      <c r="B45" s="417" t="s">
        <v>45</v>
      </c>
      <c r="C45" s="414" t="s">
        <v>63</v>
      </c>
      <c r="D45" s="113">
        <v>2</v>
      </c>
      <c r="E45" s="420"/>
    </row>
    <row r="46" spans="1:5" ht="15" customHeight="1" x14ac:dyDescent="0.2">
      <c r="B46" s="417"/>
      <c r="C46" s="414"/>
      <c r="D46" s="419"/>
      <c r="E46" s="420"/>
    </row>
    <row r="47" spans="1:5" s="89" customFormat="1" ht="15" customHeight="1" x14ac:dyDescent="0.2">
      <c r="B47" s="413" t="s">
        <v>248</v>
      </c>
      <c r="C47" s="414"/>
      <c r="D47" s="419"/>
      <c r="E47" s="420"/>
    </row>
    <row r="48" spans="1:5" s="89" customFormat="1" ht="15" customHeight="1" x14ac:dyDescent="0.2">
      <c r="B48" s="417" t="s">
        <v>184</v>
      </c>
      <c r="C48" s="414" t="s">
        <v>63</v>
      </c>
      <c r="D48" s="113">
        <v>18.600000000000001</v>
      </c>
      <c r="E48" s="420"/>
    </row>
    <row r="49" spans="2:5" s="89" customFormat="1" ht="15" customHeight="1" x14ac:dyDescent="0.2">
      <c r="B49" s="417" t="s">
        <v>183</v>
      </c>
      <c r="C49" s="414" t="s">
        <v>63</v>
      </c>
      <c r="D49" s="113">
        <v>19.399999999999999</v>
      </c>
      <c r="E49" s="420"/>
    </row>
    <row r="50" spans="2:5" s="89" customFormat="1" ht="15" customHeight="1" x14ac:dyDescent="0.2">
      <c r="B50" s="417" t="s">
        <v>292</v>
      </c>
      <c r="C50" s="414" t="s">
        <v>63</v>
      </c>
      <c r="D50" s="113">
        <v>8.5</v>
      </c>
      <c r="E50" s="420"/>
    </row>
    <row r="51" spans="2:5" s="89" customFormat="1" ht="15" customHeight="1" x14ac:dyDescent="0.2">
      <c r="B51" s="417" t="s">
        <v>294</v>
      </c>
      <c r="C51" s="414" t="s">
        <v>63</v>
      </c>
      <c r="D51" s="113">
        <v>8</v>
      </c>
      <c r="E51" s="420"/>
    </row>
    <row r="52" spans="2:5" s="89" customFormat="1" ht="15" customHeight="1" x14ac:dyDescent="0.2">
      <c r="B52" s="417" t="s">
        <v>302</v>
      </c>
      <c r="C52" s="414" t="s">
        <v>63</v>
      </c>
      <c r="D52" s="113">
        <v>12.7</v>
      </c>
      <c r="E52" s="420"/>
    </row>
    <row r="53" spans="2:5" s="89" customFormat="1" ht="15" customHeight="1" x14ac:dyDescent="0.2">
      <c r="B53" s="417" t="s">
        <v>300</v>
      </c>
      <c r="C53" s="414" t="s">
        <v>63</v>
      </c>
      <c r="D53" s="113">
        <v>14.6</v>
      </c>
      <c r="E53" s="420"/>
    </row>
    <row r="54" spans="2:5" s="89" customFormat="1" ht="15" customHeight="1" x14ac:dyDescent="0.2">
      <c r="B54" s="417"/>
      <c r="C54" s="414"/>
      <c r="D54" s="419"/>
      <c r="E54" s="420"/>
    </row>
    <row r="55" spans="2:5" ht="15" customHeight="1" x14ac:dyDescent="0.2">
      <c r="B55" s="413" t="s">
        <v>56</v>
      </c>
      <c r="C55" s="414"/>
      <c r="D55" s="419"/>
      <c r="E55" s="420"/>
    </row>
    <row r="56" spans="2:5" ht="15" customHeight="1" x14ac:dyDescent="0.2">
      <c r="B56" s="417" t="s">
        <v>444</v>
      </c>
      <c r="C56" s="414" t="s">
        <v>64</v>
      </c>
      <c r="D56" s="113">
        <f>ROUND(AVERAGE(19,18.35)/128,2)</f>
        <v>0.15</v>
      </c>
      <c r="E56" s="420"/>
    </row>
    <row r="57" spans="2:5" ht="15" customHeight="1" x14ac:dyDescent="0.2">
      <c r="B57" s="417" t="s">
        <v>443</v>
      </c>
      <c r="C57" s="414" t="s">
        <v>64</v>
      </c>
      <c r="D57" s="113">
        <f>ROUND(25.4/128,2)</f>
        <v>0.2</v>
      </c>
      <c r="E57" s="420"/>
    </row>
    <row r="58" spans="2:5" ht="15" customHeight="1" x14ac:dyDescent="0.2">
      <c r="B58" s="417" t="s">
        <v>122</v>
      </c>
      <c r="C58" s="414" t="s">
        <v>64</v>
      </c>
      <c r="D58" s="113">
        <f>ROUND(AVERAGE(88.75,126)/128,2)</f>
        <v>0.84</v>
      </c>
      <c r="E58" s="420"/>
    </row>
    <row r="59" spans="2:5" ht="15" customHeight="1" x14ac:dyDescent="0.2">
      <c r="B59" s="417" t="s">
        <v>116</v>
      </c>
      <c r="C59" s="414" t="s">
        <v>64</v>
      </c>
      <c r="D59" s="113">
        <f>ROUND(AVERAGE(146,135)/128,2)</f>
        <v>1.1000000000000001</v>
      </c>
      <c r="E59" s="420"/>
    </row>
    <row r="60" spans="2:5" ht="15" customHeight="1" x14ac:dyDescent="0.2">
      <c r="B60" s="417" t="s">
        <v>565</v>
      </c>
      <c r="C60" s="414" t="s">
        <v>64</v>
      </c>
      <c r="D60" s="113">
        <f>ROUND(34.2/16,2)</f>
        <v>2.14</v>
      </c>
      <c r="E60" s="420"/>
    </row>
    <row r="61" spans="2:5" ht="15" customHeight="1" x14ac:dyDescent="0.2">
      <c r="B61" s="417" t="s">
        <v>370</v>
      </c>
      <c r="C61" s="414" t="s">
        <v>64</v>
      </c>
      <c r="D61" s="113">
        <f>ROUND(AVERAGE(76,73)/128,2)</f>
        <v>0.57999999999999996</v>
      </c>
      <c r="E61" s="420"/>
    </row>
    <row r="62" spans="2:5" ht="15" customHeight="1" x14ac:dyDescent="0.2">
      <c r="B62" s="417" t="s">
        <v>113</v>
      </c>
      <c r="C62" s="414" t="s">
        <v>98</v>
      </c>
      <c r="D62" s="113">
        <f>ROUND(63/8,2)</f>
        <v>7.88</v>
      </c>
      <c r="E62" s="420"/>
    </row>
    <row r="63" spans="2:5" ht="15" customHeight="1" x14ac:dyDescent="0.2">
      <c r="B63" s="417" t="s">
        <v>436</v>
      </c>
      <c r="C63" s="414" t="s">
        <v>64</v>
      </c>
      <c r="D63" s="113">
        <f>ROUND(35/128,2)</f>
        <v>0.27</v>
      </c>
      <c r="E63" s="420"/>
    </row>
    <row r="64" spans="2:5" ht="15" customHeight="1" x14ac:dyDescent="0.2">
      <c r="B64" s="417" t="s">
        <v>37</v>
      </c>
      <c r="C64" s="414" t="s">
        <v>64</v>
      </c>
      <c r="D64" s="113">
        <f>ROUND(34/128,2)</f>
        <v>0.27</v>
      </c>
      <c r="E64" s="420"/>
    </row>
    <row r="65" spans="2:5" ht="15" customHeight="1" x14ac:dyDescent="0.2">
      <c r="B65" s="417" t="s">
        <v>371</v>
      </c>
      <c r="C65" s="414" t="s">
        <v>64</v>
      </c>
      <c r="D65" s="113">
        <v>17</v>
      </c>
      <c r="E65" s="420"/>
    </row>
    <row r="66" spans="2:5" ht="15" customHeight="1" x14ac:dyDescent="0.2">
      <c r="B66" s="417" t="s">
        <v>123</v>
      </c>
      <c r="C66" s="414" t="s">
        <v>64</v>
      </c>
      <c r="D66" s="113">
        <f>ROUND(AVERAGE(24.6,25.8)/128,2)</f>
        <v>0.2</v>
      </c>
      <c r="E66" s="420"/>
    </row>
    <row r="67" spans="2:5" ht="15" customHeight="1" x14ac:dyDescent="0.2">
      <c r="B67" s="417" t="s">
        <v>437</v>
      </c>
      <c r="C67" s="414" t="s">
        <v>64</v>
      </c>
      <c r="D67" s="113">
        <v>20.149999999999999</v>
      </c>
      <c r="E67" s="420"/>
    </row>
    <row r="68" spans="2:5" ht="15" customHeight="1" x14ac:dyDescent="0.2">
      <c r="B68" s="417" t="s">
        <v>126</v>
      </c>
      <c r="C68" s="414" t="s">
        <v>64</v>
      </c>
      <c r="D68" s="113">
        <f>ROUND(AVERAGE(115,109)/128,2)</f>
        <v>0.88</v>
      </c>
      <c r="E68" s="420"/>
    </row>
    <row r="69" spans="2:5" ht="15" customHeight="1" x14ac:dyDescent="0.2">
      <c r="B69" s="417" t="s">
        <v>429</v>
      </c>
      <c r="C69" s="414" t="s">
        <v>64</v>
      </c>
      <c r="D69" s="113">
        <f>ROUND(AVERAGE(27.4,28)/128,2)</f>
        <v>0.22</v>
      </c>
      <c r="E69" s="420"/>
    </row>
    <row r="70" spans="2:5" ht="15" customHeight="1" x14ac:dyDescent="0.2">
      <c r="B70" s="417" t="s">
        <v>428</v>
      </c>
      <c r="C70" s="414" t="s">
        <v>64</v>
      </c>
      <c r="D70" s="113">
        <f>ROUND(25.95/128,2)</f>
        <v>0.2</v>
      </c>
      <c r="E70" s="420"/>
    </row>
    <row r="71" spans="2:5" ht="15" customHeight="1" x14ac:dyDescent="0.2">
      <c r="B71" s="417" t="s">
        <v>95</v>
      </c>
      <c r="C71" s="414" t="s">
        <v>64</v>
      </c>
      <c r="D71" s="113">
        <v>18.25</v>
      </c>
      <c r="E71" s="420"/>
    </row>
    <row r="72" spans="2:5" ht="15" customHeight="1" x14ac:dyDescent="0.2">
      <c r="B72" s="417" t="s">
        <v>434</v>
      </c>
      <c r="C72" s="414" t="s">
        <v>64</v>
      </c>
      <c r="D72" s="113">
        <f>ROUND(64.65/128,2)</f>
        <v>0.51</v>
      </c>
      <c r="E72" s="420"/>
    </row>
    <row r="73" spans="2:5" ht="15" customHeight="1" x14ac:dyDescent="0.2">
      <c r="B73" s="417" t="s">
        <v>94</v>
      </c>
      <c r="C73" s="414" t="s">
        <v>64</v>
      </c>
      <c r="D73" s="113">
        <f>ROUND(AVERAGE(3.7,4.1),2)</f>
        <v>3.9</v>
      </c>
      <c r="E73" s="420"/>
    </row>
    <row r="74" spans="2:5" ht="15" customHeight="1" x14ac:dyDescent="0.2">
      <c r="B74" s="417" t="s">
        <v>114</v>
      </c>
      <c r="C74" s="414" t="s">
        <v>98</v>
      </c>
      <c r="D74" s="113">
        <f>ROUND(AVERAGE(116,105)/8,2)</f>
        <v>13.81</v>
      </c>
      <c r="E74" s="420"/>
    </row>
    <row r="75" spans="2:5" ht="15" customHeight="1" x14ac:dyDescent="0.2">
      <c r="B75" s="417" t="s">
        <v>187</v>
      </c>
      <c r="C75" s="414" t="s">
        <v>64</v>
      </c>
      <c r="D75" s="113">
        <f>ROUND(74.8/16,2)</f>
        <v>4.68</v>
      </c>
      <c r="E75" s="420"/>
    </row>
    <row r="76" spans="2:5" ht="15" customHeight="1" x14ac:dyDescent="0.2">
      <c r="B76" s="417" t="s">
        <v>481</v>
      </c>
      <c r="C76" s="414" t="s">
        <v>64</v>
      </c>
      <c r="D76" s="113">
        <f>ROUND(AVERAGE(442,420)/128,2)</f>
        <v>3.37</v>
      </c>
      <c r="E76" s="420"/>
    </row>
    <row r="77" spans="2:5" ht="15" customHeight="1" x14ac:dyDescent="0.2">
      <c r="B77" s="417" t="s">
        <v>186</v>
      </c>
      <c r="C77" s="414" t="s">
        <v>64</v>
      </c>
      <c r="D77" s="113">
        <f>ROUND(AVERAGE(391,305)/128,2)</f>
        <v>2.72</v>
      </c>
      <c r="E77" s="420"/>
    </row>
    <row r="78" spans="2:5" ht="15" customHeight="1" x14ac:dyDescent="0.2">
      <c r="B78" s="417" t="s">
        <v>44</v>
      </c>
      <c r="C78" s="414" t="s">
        <v>64</v>
      </c>
      <c r="D78" s="113">
        <f>ROUND(AVERAGE(173,183)/128,2)</f>
        <v>1.39</v>
      </c>
      <c r="E78" s="420"/>
    </row>
    <row r="79" spans="2:5" ht="15" customHeight="1" x14ac:dyDescent="0.2">
      <c r="B79" s="417" t="s">
        <v>127</v>
      </c>
      <c r="C79" s="414" t="s">
        <v>64</v>
      </c>
      <c r="D79" s="113">
        <f>ROUND(464/128,2)</f>
        <v>3.63</v>
      </c>
      <c r="E79" s="420"/>
    </row>
    <row r="80" spans="2:5" ht="15" customHeight="1" x14ac:dyDescent="0.2">
      <c r="B80" s="417" t="s">
        <v>188</v>
      </c>
      <c r="C80" s="414" t="s">
        <v>64</v>
      </c>
      <c r="D80" s="113">
        <f>ROUND(AVERAGE(554,413)/128,2)</f>
        <v>3.78</v>
      </c>
      <c r="E80" s="420"/>
    </row>
    <row r="81" spans="2:5" ht="15" customHeight="1" x14ac:dyDescent="0.2">
      <c r="B81" s="417" t="s">
        <v>369</v>
      </c>
      <c r="C81" s="414" t="s">
        <v>64</v>
      </c>
      <c r="D81" s="113">
        <f>ROUND(AVERAGE(78.1,82.15)/128,2)</f>
        <v>0.63</v>
      </c>
      <c r="E81" s="420"/>
    </row>
    <row r="82" spans="2:5" ht="15" customHeight="1" x14ac:dyDescent="0.2">
      <c r="B82" s="417"/>
      <c r="C82" s="414"/>
      <c r="D82" s="419"/>
      <c r="E82" s="420"/>
    </row>
    <row r="83" spans="2:5" ht="15" customHeight="1" x14ac:dyDescent="0.2">
      <c r="B83" s="413" t="s">
        <v>40</v>
      </c>
      <c r="C83" s="414"/>
      <c r="D83" s="419"/>
      <c r="E83" s="420"/>
    </row>
    <row r="84" spans="2:5" ht="15" customHeight="1" x14ac:dyDescent="0.2">
      <c r="B84" s="417" t="s">
        <v>192</v>
      </c>
      <c r="C84" s="414" t="s">
        <v>98</v>
      </c>
      <c r="D84" s="113">
        <v>14.25</v>
      </c>
      <c r="E84" s="420"/>
    </row>
    <row r="85" spans="2:5" ht="15" customHeight="1" x14ac:dyDescent="0.2">
      <c r="B85" s="417"/>
      <c r="C85" s="414"/>
      <c r="D85" s="419"/>
      <c r="E85" s="420"/>
    </row>
    <row r="86" spans="2:5" ht="15" customHeight="1" x14ac:dyDescent="0.2">
      <c r="B86" s="413" t="s">
        <v>217</v>
      </c>
      <c r="C86" s="414"/>
      <c r="D86" s="419"/>
      <c r="E86" s="420"/>
    </row>
    <row r="87" spans="2:5" ht="15" customHeight="1" x14ac:dyDescent="0.2">
      <c r="B87" s="417" t="s">
        <v>223</v>
      </c>
      <c r="C87" s="424" t="s">
        <v>221</v>
      </c>
      <c r="D87" s="113">
        <v>0.02</v>
      </c>
      <c r="E87" s="420"/>
    </row>
    <row r="88" spans="2:5" ht="15" customHeight="1" x14ac:dyDescent="0.2">
      <c r="B88" s="417" t="s">
        <v>218</v>
      </c>
      <c r="C88" s="424" t="s">
        <v>222</v>
      </c>
      <c r="D88" s="113">
        <v>0.03</v>
      </c>
      <c r="E88" s="420"/>
    </row>
    <row r="89" spans="2:5" ht="15" customHeight="1" x14ac:dyDescent="0.2">
      <c r="B89" s="417" t="s">
        <v>445</v>
      </c>
      <c r="C89" s="424" t="s">
        <v>446</v>
      </c>
      <c r="D89" s="113">
        <v>0.02</v>
      </c>
      <c r="E89" s="420"/>
    </row>
    <row r="90" spans="2:5" ht="15" customHeight="1" x14ac:dyDescent="0.2">
      <c r="B90" s="417"/>
      <c r="C90" s="414"/>
      <c r="D90" s="419"/>
      <c r="E90" s="420"/>
    </row>
    <row r="91" spans="2:5" ht="15" customHeight="1" x14ac:dyDescent="0.2">
      <c r="B91" s="413" t="s">
        <v>249</v>
      </c>
      <c r="C91" s="414"/>
      <c r="D91" s="419"/>
      <c r="E91" s="420"/>
    </row>
    <row r="92" spans="2:5" ht="15" customHeight="1" x14ac:dyDescent="0.2">
      <c r="B92" s="417" t="s">
        <v>119</v>
      </c>
      <c r="C92" s="414" t="s">
        <v>57</v>
      </c>
      <c r="D92" s="113">
        <v>20</v>
      </c>
      <c r="E92" s="420"/>
    </row>
    <row r="93" spans="2:5" s="89" customFormat="1" ht="15" customHeight="1" x14ac:dyDescent="0.2">
      <c r="B93" s="417" t="s">
        <v>118</v>
      </c>
      <c r="C93" s="414" t="s">
        <v>57</v>
      </c>
      <c r="D93" s="113">
        <v>17</v>
      </c>
      <c r="E93" s="420"/>
    </row>
    <row r="94" spans="2:5" ht="15" customHeight="1" x14ac:dyDescent="0.2">
      <c r="B94" s="417"/>
      <c r="C94" s="414"/>
      <c r="D94" s="419"/>
      <c r="E94" s="420"/>
    </row>
    <row r="95" spans="2:5" s="89" customFormat="1" ht="15" customHeight="1" x14ac:dyDescent="0.2">
      <c r="B95" s="413" t="s">
        <v>112</v>
      </c>
      <c r="C95" s="414"/>
      <c r="D95" s="419"/>
      <c r="E95" s="420"/>
    </row>
    <row r="96" spans="2:5" s="89" customFormat="1" ht="15" customHeight="1" x14ac:dyDescent="0.2">
      <c r="B96" s="417" t="s">
        <v>250</v>
      </c>
      <c r="C96" s="414" t="s">
        <v>60</v>
      </c>
      <c r="D96" s="425">
        <v>2.5000000000000001E-2</v>
      </c>
      <c r="E96" s="420"/>
    </row>
    <row r="97" spans="2:5" s="89" customFormat="1" ht="15" customHeight="1" x14ac:dyDescent="0.2">
      <c r="B97" s="417"/>
      <c r="C97" s="414"/>
      <c r="D97" s="419"/>
      <c r="E97" s="420"/>
    </row>
    <row r="98" spans="2:5" s="89" customFormat="1" ht="15" customHeight="1" x14ac:dyDescent="0.2">
      <c r="B98" s="413" t="s">
        <v>120</v>
      </c>
      <c r="C98" s="414"/>
      <c r="D98" s="419"/>
      <c r="E98" s="420"/>
    </row>
    <row r="99" spans="2:5" s="89" customFormat="1" ht="15" customHeight="1" x14ac:dyDescent="0.2">
      <c r="B99" s="417" t="s">
        <v>251</v>
      </c>
      <c r="C99" s="414" t="s">
        <v>60</v>
      </c>
      <c r="D99" s="425">
        <v>0.05</v>
      </c>
      <c r="E99" s="420"/>
    </row>
    <row r="100" spans="2:5" s="89" customFormat="1" ht="15" customHeight="1" x14ac:dyDescent="0.2">
      <c r="B100" s="417"/>
      <c r="C100" s="414"/>
      <c r="D100" s="419"/>
      <c r="E100" s="420"/>
    </row>
    <row r="101" spans="2:5" ht="15" customHeight="1" x14ac:dyDescent="0.2">
      <c r="B101" s="413" t="s">
        <v>35</v>
      </c>
      <c r="C101" s="414"/>
      <c r="D101" s="419"/>
      <c r="E101" s="420"/>
    </row>
    <row r="102" spans="2:5" ht="15" customHeight="1" x14ac:dyDescent="0.2">
      <c r="B102" s="417" t="s">
        <v>34</v>
      </c>
      <c r="C102" s="414" t="s">
        <v>63</v>
      </c>
      <c r="D102" s="113">
        <v>0</v>
      </c>
      <c r="E102" s="420"/>
    </row>
    <row r="103" spans="2:5" ht="15" customHeight="1" x14ac:dyDescent="0.2">
      <c r="B103" s="417"/>
      <c r="C103" s="414"/>
      <c r="D103" s="419"/>
      <c r="E103" s="420"/>
    </row>
    <row r="104" spans="2:5" ht="15" customHeight="1" x14ac:dyDescent="0.2">
      <c r="B104" s="413" t="s">
        <v>58</v>
      </c>
      <c r="C104" s="414"/>
      <c r="D104" s="419"/>
      <c r="E104" s="420"/>
    </row>
    <row r="105" spans="2:5" ht="15" customHeight="1" x14ac:dyDescent="0.2">
      <c r="B105" s="417" t="s">
        <v>59</v>
      </c>
      <c r="C105" s="414" t="s">
        <v>60</v>
      </c>
      <c r="D105" s="425">
        <v>5.7500000000000002E-2</v>
      </c>
      <c r="E105" s="420"/>
    </row>
    <row r="106" spans="2:5" ht="15" customHeight="1" x14ac:dyDescent="0.2">
      <c r="B106" s="421" t="s">
        <v>198</v>
      </c>
      <c r="C106" s="422" t="s">
        <v>60</v>
      </c>
      <c r="D106" s="426">
        <v>0.06</v>
      </c>
      <c r="E106" s="423"/>
    </row>
    <row r="107" spans="2:5" s="89" customFormat="1" ht="14.25" x14ac:dyDescent="0.2">
      <c r="B107" s="89" t="s">
        <v>252</v>
      </c>
      <c r="C107" s="301"/>
      <c r="D107" s="405"/>
    </row>
    <row r="108" spans="2:5" ht="14.25" x14ac:dyDescent="0.2">
      <c r="B108" s="89" t="s">
        <v>253</v>
      </c>
    </row>
    <row r="109" spans="2:5" ht="14.25" x14ac:dyDescent="0.2">
      <c r="B109" s="89" t="s">
        <v>254</v>
      </c>
    </row>
    <row r="110" spans="2:5" ht="14.25" x14ac:dyDescent="0.2">
      <c r="B110" s="89" t="s">
        <v>255</v>
      </c>
    </row>
    <row r="111" spans="2:5" ht="12.75" x14ac:dyDescent="0.2">
      <c r="B111" s="89"/>
    </row>
    <row r="112" spans="2:5" ht="27.75" customHeight="1" x14ac:dyDescent="0.2">
      <c r="B112" s="667" t="s">
        <v>247</v>
      </c>
      <c r="C112" s="667"/>
      <c r="D112" s="667"/>
      <c r="E112" s="667"/>
    </row>
    <row r="113" spans="2:2" ht="12.75" x14ac:dyDescent="0.2">
      <c r="B113" s="427" t="s">
        <v>246</v>
      </c>
    </row>
  </sheetData>
  <mergeCells count="4">
    <mergeCell ref="B8:E8"/>
    <mergeCell ref="B4:J4"/>
    <mergeCell ref="B6:J6"/>
    <mergeCell ref="B112:E112"/>
  </mergeCells>
  <phoneticPr fontId="9" type="noConversion"/>
  <hyperlinks>
    <hyperlink ref="B113" r:id="rId1" xr:uid="{00000000-0004-0000-0400-000000000000}"/>
  </hyperlinks>
  <printOptions horizontalCentered="1"/>
  <pageMargins left="0.75" right="0.75" top="1" bottom="1" header="0" footer="0.5"/>
  <pageSetup scale="74" orientation="portrait" r:id="rId2"/>
  <headerFooter alignWithMargins="0">
    <oddFooter>&amp;L&amp;A&amp;C&amp;F&amp;R&amp;D</oddFooter>
  </headerFooter>
  <rowBreaks count="1" manualBreakCount="1">
    <brk id="54"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N61"/>
  <sheetViews>
    <sheetView showGridLines="0" zoomScale="90" zoomScaleNormal="90" zoomScaleSheetLayoutView="100" workbookViewId="0">
      <selection activeCell="E38" sqref="E38"/>
    </sheetView>
  </sheetViews>
  <sheetFormatPr defaultColWidth="18.7109375" defaultRowHeight="12.95" customHeight="1" x14ac:dyDescent="0.2"/>
  <cols>
    <col min="1" max="1" width="3.140625" style="539" customWidth="1"/>
    <col min="2" max="2" width="15" style="242" customWidth="1"/>
    <col min="3" max="3" width="26.5703125" style="539" customWidth="1"/>
    <col min="4" max="4" width="8.42578125" style="539" customWidth="1"/>
    <col min="5" max="5" width="47.28515625" style="539" customWidth="1"/>
    <col min="6" max="6" width="46.5703125" style="659" bestFit="1" customWidth="1"/>
    <col min="7" max="7" width="2.85546875" style="553" customWidth="1"/>
    <col min="8" max="9" width="8.7109375" style="540" hidden="1" customWidth="1"/>
    <col min="10" max="10" width="12.7109375" style="539" customWidth="1"/>
    <col min="11" max="13" width="7.85546875" style="539" customWidth="1"/>
    <col min="14" max="14" width="14.5703125" style="539" customWidth="1"/>
    <col min="15" max="16384" width="18.7109375" style="539"/>
  </cols>
  <sheetData>
    <row r="1" spans="1:9" ht="12.75" customHeight="1" x14ac:dyDescent="0.2"/>
    <row r="2" spans="1:9" ht="15" x14ac:dyDescent="0.2">
      <c r="B2" s="620" t="s">
        <v>257</v>
      </c>
      <c r="C2" s="521"/>
      <c r="D2" s="521"/>
      <c r="E2" s="521"/>
      <c r="F2" s="521"/>
      <c r="G2" s="550"/>
    </row>
    <row r="3" spans="1:9" ht="15" x14ac:dyDescent="0.2">
      <c r="B3" s="620" t="s">
        <v>325</v>
      </c>
      <c r="C3" s="521"/>
      <c r="D3" s="521"/>
      <c r="E3" s="521"/>
      <c r="F3" s="521"/>
      <c r="G3" s="550"/>
    </row>
    <row r="4" spans="1:9" ht="15" x14ac:dyDescent="0.2">
      <c r="B4" s="522"/>
      <c r="C4" s="521"/>
      <c r="D4" s="521"/>
      <c r="E4" s="521"/>
      <c r="F4" s="521"/>
      <c r="G4" s="550"/>
    </row>
    <row r="5" spans="1:9" s="135" customFormat="1" ht="13.5" customHeight="1" x14ac:dyDescent="0.25">
      <c r="B5" s="518" t="s">
        <v>539</v>
      </c>
      <c r="C5" s="523"/>
      <c r="D5" s="524"/>
      <c r="E5" s="523"/>
      <c r="F5" s="523"/>
      <c r="G5" s="550"/>
    </row>
    <row r="6" spans="1:9" s="135" customFormat="1" ht="13.5" customHeight="1" x14ac:dyDescent="0.25">
      <c r="B6" s="518"/>
      <c r="C6" s="523"/>
      <c r="D6" s="524"/>
      <c r="E6" s="523"/>
      <c r="F6" s="523"/>
      <c r="G6" s="550"/>
    </row>
    <row r="7" spans="1:9" s="135" customFormat="1" ht="15" customHeight="1" x14ac:dyDescent="0.2">
      <c r="B7" s="619" t="s">
        <v>272</v>
      </c>
      <c r="C7" s="523"/>
      <c r="D7" s="524"/>
      <c r="E7" s="523"/>
      <c r="F7" s="523"/>
      <c r="G7" s="550"/>
    </row>
    <row r="8" spans="1:9" s="135" customFormat="1" ht="15" customHeight="1" x14ac:dyDescent="0.2">
      <c r="B8" s="620"/>
      <c r="C8" s="523"/>
      <c r="D8" s="524"/>
      <c r="E8" s="523"/>
      <c r="F8" s="523"/>
      <c r="G8" s="550"/>
    </row>
    <row r="9" spans="1:9" ht="15" x14ac:dyDescent="0.2">
      <c r="B9" s="522"/>
      <c r="C9" s="521"/>
      <c r="D9" s="521"/>
      <c r="E9" s="521"/>
      <c r="F9" s="521"/>
      <c r="G9" s="550"/>
    </row>
    <row r="10" spans="1:9" s="540" customFormat="1" ht="15.75" x14ac:dyDescent="0.25">
      <c r="A10" s="539"/>
      <c r="B10" s="670" t="s">
        <v>501</v>
      </c>
      <c r="C10" s="671"/>
      <c r="D10" s="671"/>
      <c r="E10" s="671"/>
      <c r="F10" s="671"/>
      <c r="G10" s="551"/>
    </row>
    <row r="11" spans="1:9" s="540" customFormat="1" ht="7.5" customHeight="1" x14ac:dyDescent="0.25">
      <c r="A11" s="539"/>
      <c r="B11" s="519"/>
      <c r="C11" s="525"/>
      <c r="D11" s="525"/>
      <c r="E11" s="525"/>
      <c r="F11" s="525"/>
      <c r="G11" s="550"/>
    </row>
    <row r="12" spans="1:9" s="540" customFormat="1" ht="15.75" x14ac:dyDescent="0.25">
      <c r="A12" s="539"/>
      <c r="B12" s="541" t="s">
        <v>105</v>
      </c>
      <c r="C12" s="542" t="s">
        <v>106</v>
      </c>
      <c r="D12" s="542" t="s">
        <v>129</v>
      </c>
      <c r="E12" s="542" t="s">
        <v>107</v>
      </c>
      <c r="F12" s="542" t="s">
        <v>576</v>
      </c>
      <c r="G12" s="551"/>
    </row>
    <row r="13" spans="1:9" s="540" customFormat="1" ht="15" x14ac:dyDescent="0.2">
      <c r="A13" s="539"/>
      <c r="B13" s="544"/>
      <c r="C13" s="498"/>
      <c r="D13" s="499"/>
      <c r="E13" s="498"/>
      <c r="F13" s="668"/>
      <c r="G13" s="550"/>
    </row>
    <row r="14" spans="1:9" s="540" customFormat="1" ht="15" x14ac:dyDescent="0.2">
      <c r="A14" s="539"/>
      <c r="B14" s="547" t="s">
        <v>277</v>
      </c>
      <c r="C14" s="501" t="s">
        <v>357</v>
      </c>
      <c r="D14" s="500">
        <v>1</v>
      </c>
      <c r="E14" s="501" t="s">
        <v>356</v>
      </c>
      <c r="F14" s="669"/>
      <c r="G14" s="552"/>
    </row>
    <row r="15" spans="1:9" s="540" customFormat="1" ht="15" x14ac:dyDescent="0.2">
      <c r="A15" s="539"/>
      <c r="B15" s="544"/>
      <c r="C15" s="498"/>
      <c r="D15" s="499"/>
      <c r="E15" s="498"/>
      <c r="F15" s="672" t="s">
        <v>574</v>
      </c>
      <c r="G15" s="550"/>
    </row>
    <row r="16" spans="1:9" s="540" customFormat="1" ht="15" x14ac:dyDescent="0.2">
      <c r="A16" s="539"/>
      <c r="B16" s="547" t="s">
        <v>336</v>
      </c>
      <c r="C16" s="501" t="s">
        <v>346</v>
      </c>
      <c r="D16" s="500">
        <v>1</v>
      </c>
      <c r="E16" s="530" t="s">
        <v>361</v>
      </c>
      <c r="F16" s="673"/>
      <c r="G16" s="556"/>
      <c r="H16" s="87" t="s">
        <v>365</v>
      </c>
      <c r="I16" s="540" t="s">
        <v>366</v>
      </c>
    </row>
    <row r="17" spans="1:14" s="502" customFormat="1" ht="12.75" customHeight="1" x14ac:dyDescent="0.2">
      <c r="A17" s="503"/>
      <c r="B17" s="546"/>
      <c r="C17" s="516"/>
      <c r="D17" s="517"/>
      <c r="E17" s="516"/>
      <c r="F17" s="672" t="s">
        <v>398</v>
      </c>
      <c r="G17" s="554"/>
    </row>
    <row r="18" spans="1:14" s="502" customFormat="1" ht="26.25" customHeight="1" x14ac:dyDescent="0.2">
      <c r="A18" s="503"/>
      <c r="B18" s="547" t="s">
        <v>344</v>
      </c>
      <c r="C18" s="501" t="s">
        <v>338</v>
      </c>
      <c r="D18" s="504">
        <v>1</v>
      </c>
      <c r="E18" s="501" t="s">
        <v>341</v>
      </c>
      <c r="F18" s="673"/>
      <c r="G18" s="555"/>
    </row>
    <row r="19" spans="1:14" ht="15" x14ac:dyDescent="0.2">
      <c r="A19" s="540"/>
      <c r="B19" s="546"/>
      <c r="C19" s="516"/>
      <c r="D19" s="517"/>
      <c r="E19" s="516"/>
      <c r="F19" s="672"/>
      <c r="G19" s="550"/>
    </row>
    <row r="20" spans="1:14" ht="15" x14ac:dyDescent="0.2">
      <c r="A20" s="540"/>
      <c r="B20" s="547" t="s">
        <v>339</v>
      </c>
      <c r="C20" s="501" t="s">
        <v>340</v>
      </c>
      <c r="D20" s="504">
        <v>2</v>
      </c>
      <c r="E20" s="501" t="s">
        <v>479</v>
      </c>
      <c r="F20" s="673"/>
      <c r="G20" s="550"/>
    </row>
    <row r="21" spans="1:14" s="543" customFormat="1" ht="15" x14ac:dyDescent="0.2">
      <c r="B21" s="527"/>
      <c r="C21" s="523"/>
      <c r="D21" s="524"/>
      <c r="E21" s="523"/>
      <c r="F21" s="523"/>
      <c r="G21" s="550"/>
    </row>
    <row r="22" spans="1:14" s="543" customFormat="1" ht="15" x14ac:dyDescent="0.2">
      <c r="B22" s="527"/>
      <c r="C22" s="523"/>
      <c r="D22" s="524"/>
      <c r="E22" s="523"/>
      <c r="F22" s="523"/>
      <c r="G22" s="550"/>
    </row>
    <row r="23" spans="1:14" s="543" customFormat="1" ht="15" x14ac:dyDescent="0.2">
      <c r="B23" s="527"/>
      <c r="C23" s="523"/>
      <c r="D23" s="524"/>
      <c r="E23" s="523"/>
      <c r="F23" s="523"/>
      <c r="G23" s="550"/>
    </row>
    <row r="24" spans="1:14" ht="15.75" x14ac:dyDescent="0.25">
      <c r="A24" s="540"/>
      <c r="B24" s="670" t="s">
        <v>502</v>
      </c>
      <c r="C24" s="674"/>
      <c r="D24" s="674"/>
      <c r="E24" s="674"/>
      <c r="F24" s="674"/>
      <c r="G24" s="550"/>
      <c r="H24" s="543"/>
      <c r="I24" s="539"/>
    </row>
    <row r="25" spans="1:14" ht="9.75" customHeight="1" x14ac:dyDescent="0.25">
      <c r="A25" s="540"/>
      <c r="B25" s="520"/>
      <c r="C25" s="525"/>
      <c r="D25" s="525"/>
      <c r="E25" s="525"/>
      <c r="F25" s="525"/>
      <c r="G25" s="550"/>
      <c r="H25" s="543"/>
      <c r="I25" s="539"/>
    </row>
    <row r="26" spans="1:14" ht="15" x14ac:dyDescent="0.2">
      <c r="A26" s="540"/>
      <c r="B26" s="541" t="s">
        <v>105</v>
      </c>
      <c r="C26" s="542" t="s">
        <v>106</v>
      </c>
      <c r="D26" s="542" t="s">
        <v>129</v>
      </c>
      <c r="E26" s="542" t="s">
        <v>107</v>
      </c>
      <c r="F26" s="542" t="s">
        <v>576</v>
      </c>
      <c r="G26" s="550"/>
      <c r="H26" s="543"/>
      <c r="I26" s="539"/>
    </row>
    <row r="27" spans="1:14" ht="14.25" customHeight="1" x14ac:dyDescent="0.2">
      <c r="A27" s="540"/>
      <c r="B27" s="655"/>
      <c r="C27" s="656"/>
      <c r="D27" s="657"/>
      <c r="E27" s="656"/>
      <c r="F27" s="672" t="s">
        <v>567</v>
      </c>
      <c r="G27" s="558"/>
      <c r="H27" s="543"/>
      <c r="I27" s="539"/>
    </row>
    <row r="28" spans="1:14" ht="15" x14ac:dyDescent="0.2">
      <c r="A28" s="540"/>
      <c r="B28" s="547" t="s">
        <v>342</v>
      </c>
      <c r="C28" s="501" t="s">
        <v>568</v>
      </c>
      <c r="D28" s="500">
        <v>1</v>
      </c>
      <c r="E28" s="501" t="s">
        <v>361</v>
      </c>
      <c r="F28" s="669"/>
      <c r="G28" s="558"/>
      <c r="H28" s="543"/>
      <c r="I28" s="539"/>
    </row>
    <row r="29" spans="1:14" ht="15" customHeight="1" x14ac:dyDescent="0.2">
      <c r="A29" s="540"/>
      <c r="B29" s="544"/>
      <c r="C29" s="498"/>
      <c r="D29" s="499"/>
      <c r="E29" s="498"/>
      <c r="F29" s="672" t="s">
        <v>368</v>
      </c>
      <c r="G29" s="550"/>
      <c r="H29" s="543"/>
    </row>
    <row r="30" spans="1:14" ht="15" x14ac:dyDescent="0.2">
      <c r="A30" s="540"/>
      <c r="B30" s="547" t="s">
        <v>342</v>
      </c>
      <c r="C30" s="501" t="s">
        <v>367</v>
      </c>
      <c r="D30" s="500">
        <v>1</v>
      </c>
      <c r="E30" s="501" t="s">
        <v>343</v>
      </c>
      <c r="F30" s="669"/>
      <c r="G30" s="550"/>
      <c r="M30" s="654"/>
    </row>
    <row r="31" spans="1:14" ht="15" customHeight="1" x14ac:dyDescent="0.2">
      <c r="A31" s="540"/>
      <c r="B31" s="546"/>
      <c r="C31" s="516"/>
      <c r="D31" s="517"/>
      <c r="E31" s="498"/>
      <c r="F31" s="672" t="s">
        <v>573</v>
      </c>
      <c r="G31" s="550"/>
      <c r="K31" s="658"/>
      <c r="M31" s="654"/>
      <c r="N31" s="654"/>
    </row>
    <row r="32" spans="1:14" ht="15" customHeight="1" x14ac:dyDescent="0.2">
      <c r="A32" s="540"/>
      <c r="B32" s="544"/>
      <c r="C32" s="498"/>
      <c r="D32" s="499"/>
      <c r="E32" s="498"/>
      <c r="F32" s="675"/>
      <c r="G32" s="550"/>
      <c r="K32" s="658"/>
      <c r="M32" s="654"/>
      <c r="N32" s="654"/>
    </row>
    <row r="33" spans="1:14" ht="15" x14ac:dyDescent="0.2">
      <c r="A33" s="540"/>
      <c r="B33" s="547" t="s">
        <v>327</v>
      </c>
      <c r="C33" s="501" t="s">
        <v>399</v>
      </c>
      <c r="D33" s="500">
        <v>1</v>
      </c>
      <c r="E33" s="530" t="s">
        <v>361</v>
      </c>
      <c r="F33" s="673" t="s">
        <v>130</v>
      </c>
      <c r="G33" s="550"/>
      <c r="K33" s="658"/>
      <c r="M33" s="654"/>
      <c r="N33" s="654"/>
    </row>
    <row r="34" spans="1:14" ht="12.75" customHeight="1" x14ac:dyDescent="0.2">
      <c r="A34" s="540"/>
      <c r="B34" s="544"/>
      <c r="C34" s="498"/>
      <c r="D34" s="499"/>
      <c r="E34" s="498"/>
      <c r="F34" s="672" t="s">
        <v>350</v>
      </c>
      <c r="G34" s="550"/>
      <c r="H34" s="539"/>
      <c r="I34" s="539"/>
      <c r="K34" s="658"/>
      <c r="M34" s="654"/>
      <c r="N34" s="654"/>
    </row>
    <row r="35" spans="1:14" ht="15" x14ac:dyDescent="0.2">
      <c r="A35" s="540"/>
      <c r="B35" s="547" t="s">
        <v>155</v>
      </c>
      <c r="C35" s="501" t="s">
        <v>108</v>
      </c>
      <c r="D35" s="504">
        <v>1</v>
      </c>
      <c r="E35" s="501" t="s">
        <v>391</v>
      </c>
      <c r="F35" s="669"/>
      <c r="G35" s="550"/>
      <c r="H35" s="539"/>
      <c r="I35" s="539"/>
      <c r="K35" s="658"/>
      <c r="M35" s="654"/>
      <c r="N35" s="654"/>
    </row>
    <row r="36" spans="1:14" ht="15" x14ac:dyDescent="0.2">
      <c r="A36" s="540"/>
      <c r="B36" s="546"/>
      <c r="C36" s="516"/>
      <c r="D36" s="517"/>
      <c r="E36" s="516"/>
      <c r="F36" s="668"/>
      <c r="G36" s="550"/>
      <c r="H36" s="539"/>
      <c r="I36" s="539"/>
      <c r="N36" s="654"/>
    </row>
    <row r="37" spans="1:14" ht="15" x14ac:dyDescent="0.2">
      <c r="A37" s="540"/>
      <c r="B37" s="547" t="s">
        <v>155</v>
      </c>
      <c r="C37" s="501" t="s">
        <v>108</v>
      </c>
      <c r="D37" s="504">
        <v>1</v>
      </c>
      <c r="E37" s="501" t="s">
        <v>372</v>
      </c>
      <c r="F37" s="669" t="s">
        <v>233</v>
      </c>
      <c r="G37" s="550"/>
    </row>
    <row r="38" spans="1:14" ht="15" x14ac:dyDescent="0.2">
      <c r="A38" s="540"/>
      <c r="B38" s="546"/>
      <c r="C38" s="516"/>
      <c r="D38" s="517"/>
      <c r="E38" s="516"/>
      <c r="F38" s="668" t="s">
        <v>387</v>
      </c>
      <c r="G38" s="550"/>
      <c r="H38" s="539"/>
      <c r="I38" s="539"/>
    </row>
    <row r="39" spans="1:14" ht="15" x14ac:dyDescent="0.2">
      <c r="A39" s="540"/>
      <c r="B39" s="547" t="s">
        <v>155</v>
      </c>
      <c r="C39" s="501" t="s">
        <v>108</v>
      </c>
      <c r="D39" s="504">
        <v>1</v>
      </c>
      <c r="E39" s="501" t="s">
        <v>209</v>
      </c>
      <c r="F39" s="669" t="s">
        <v>233</v>
      </c>
      <c r="G39" s="550"/>
    </row>
    <row r="40" spans="1:14" s="543" customFormat="1" ht="15" x14ac:dyDescent="0.2">
      <c r="B40" s="564"/>
      <c r="C40" s="564"/>
      <c r="D40" s="564"/>
      <c r="E40" s="564"/>
      <c r="F40" s="564"/>
      <c r="G40" s="550"/>
    </row>
    <row r="41" spans="1:14" s="543" customFormat="1" ht="15" x14ac:dyDescent="0.2">
      <c r="B41" s="565"/>
      <c r="C41" s="565"/>
      <c r="D41" s="565"/>
      <c r="E41" s="565"/>
      <c r="F41" s="565"/>
      <c r="G41" s="550"/>
    </row>
    <row r="42" spans="1:14" s="543" customFormat="1" ht="15" x14ac:dyDescent="0.2">
      <c r="A42" s="507"/>
      <c r="B42" s="521"/>
      <c r="C42" s="523"/>
      <c r="D42" s="524"/>
      <c r="E42" s="523"/>
      <c r="F42" s="523"/>
      <c r="G42" s="550"/>
    </row>
    <row r="43" spans="1:14" s="540" customFormat="1" ht="15.75" x14ac:dyDescent="0.25">
      <c r="A43" s="539"/>
      <c r="B43" s="670" t="s">
        <v>503</v>
      </c>
      <c r="C43" s="671"/>
      <c r="D43" s="671"/>
      <c r="E43" s="671"/>
      <c r="F43" s="671"/>
      <c r="G43" s="550"/>
    </row>
    <row r="44" spans="1:14" s="540" customFormat="1" ht="8.25" customHeight="1" x14ac:dyDescent="0.25">
      <c r="A44" s="539"/>
      <c r="B44" s="519"/>
      <c r="C44" s="525"/>
      <c r="D44" s="525"/>
      <c r="E44" s="525"/>
      <c r="F44" s="525"/>
      <c r="G44" s="550"/>
    </row>
    <row r="45" spans="1:14" s="540" customFormat="1" ht="15.75" customHeight="1" x14ac:dyDescent="0.2">
      <c r="A45" s="539"/>
      <c r="B45" s="541" t="s">
        <v>105</v>
      </c>
      <c r="C45" s="542" t="s">
        <v>106</v>
      </c>
      <c r="D45" s="542" t="s">
        <v>129</v>
      </c>
      <c r="E45" s="542" t="s">
        <v>107</v>
      </c>
      <c r="F45" s="542" t="s">
        <v>576</v>
      </c>
      <c r="G45" s="550"/>
    </row>
    <row r="46" spans="1:14" ht="15" x14ac:dyDescent="0.2">
      <c r="A46" s="540"/>
      <c r="B46" s="544"/>
      <c r="C46" s="498"/>
      <c r="D46" s="499"/>
      <c r="E46" s="498"/>
      <c r="F46" s="668"/>
      <c r="G46" s="550"/>
    </row>
    <row r="47" spans="1:14" ht="15" x14ac:dyDescent="0.2">
      <c r="A47" s="540"/>
      <c r="B47" s="545" t="s">
        <v>277</v>
      </c>
      <c r="C47" s="514" t="s">
        <v>357</v>
      </c>
      <c r="D47" s="515">
        <v>1</v>
      </c>
      <c r="E47" s="514" t="s">
        <v>360</v>
      </c>
      <c r="F47" s="669" t="s">
        <v>233</v>
      </c>
      <c r="G47" s="550"/>
    </row>
    <row r="48" spans="1:14" ht="15" customHeight="1" x14ac:dyDescent="0.2">
      <c r="A48" s="540"/>
      <c r="B48" s="546"/>
      <c r="C48" s="516"/>
      <c r="D48" s="517"/>
      <c r="E48" s="516"/>
      <c r="F48" s="668" t="s">
        <v>575</v>
      </c>
      <c r="G48" s="550"/>
    </row>
    <row r="49" spans="1:9" ht="15" x14ac:dyDescent="0.2">
      <c r="A49" s="540"/>
      <c r="B49" s="547" t="s">
        <v>400</v>
      </c>
      <c r="C49" s="501" t="s">
        <v>346</v>
      </c>
      <c r="D49" s="500">
        <v>1</v>
      </c>
      <c r="E49" s="530" t="s">
        <v>361</v>
      </c>
      <c r="F49" s="669"/>
      <c r="G49" s="550"/>
    </row>
    <row r="50" spans="1:9" ht="15" x14ac:dyDescent="0.2">
      <c r="A50" s="540"/>
      <c r="B50" s="544"/>
      <c r="C50" s="498"/>
      <c r="D50" s="499"/>
      <c r="E50" s="498"/>
      <c r="F50" s="668" t="s">
        <v>353</v>
      </c>
      <c r="G50" s="550"/>
    </row>
    <row r="51" spans="1:9" ht="15" x14ac:dyDescent="0.2">
      <c r="A51" s="540"/>
      <c r="B51" s="547" t="s">
        <v>327</v>
      </c>
      <c r="C51" s="501" t="s">
        <v>401</v>
      </c>
      <c r="D51" s="500">
        <v>1</v>
      </c>
      <c r="E51" s="501" t="s">
        <v>347</v>
      </c>
      <c r="F51" s="669"/>
      <c r="G51" s="550"/>
    </row>
    <row r="52" spans="1:9" ht="15" x14ac:dyDescent="0.2">
      <c r="A52" s="540"/>
      <c r="B52" s="544"/>
      <c r="C52" s="498"/>
      <c r="D52" s="499"/>
      <c r="E52" s="498"/>
      <c r="F52" s="668" t="s">
        <v>352</v>
      </c>
      <c r="G52" s="550"/>
    </row>
    <row r="53" spans="1:9" ht="15" x14ac:dyDescent="0.2">
      <c r="A53" s="540"/>
      <c r="B53" s="547" t="s">
        <v>327</v>
      </c>
      <c r="C53" s="501" t="s">
        <v>367</v>
      </c>
      <c r="D53" s="504">
        <v>1</v>
      </c>
      <c r="E53" s="501" t="s">
        <v>343</v>
      </c>
      <c r="F53" s="669"/>
      <c r="G53" s="550"/>
    </row>
    <row r="54" spans="1:9" ht="15" x14ac:dyDescent="0.2">
      <c r="A54" s="540"/>
      <c r="B54" s="546"/>
      <c r="C54" s="516"/>
      <c r="D54" s="517"/>
      <c r="E54" s="516"/>
      <c r="F54" s="668" t="s">
        <v>354</v>
      </c>
      <c r="G54" s="550"/>
    </row>
    <row r="55" spans="1:9" ht="15" x14ac:dyDescent="0.2">
      <c r="A55" s="540"/>
      <c r="B55" s="547" t="s">
        <v>339</v>
      </c>
      <c r="C55" s="501" t="s">
        <v>345</v>
      </c>
      <c r="D55" s="504">
        <v>1</v>
      </c>
      <c r="E55" s="501" t="s">
        <v>348</v>
      </c>
      <c r="F55" s="669" t="s">
        <v>233</v>
      </c>
      <c r="G55" s="550"/>
    </row>
    <row r="56" spans="1:9" ht="15" x14ac:dyDescent="0.2">
      <c r="A56" s="540"/>
      <c r="B56" s="546"/>
      <c r="C56" s="516"/>
      <c r="D56" s="517"/>
      <c r="E56" s="516"/>
      <c r="F56" s="668" t="s">
        <v>364</v>
      </c>
      <c r="G56" s="550"/>
    </row>
    <row r="57" spans="1:9" ht="15" x14ac:dyDescent="0.2">
      <c r="A57" s="540"/>
      <c r="B57" s="547" t="s">
        <v>155</v>
      </c>
      <c r="C57" s="501" t="s">
        <v>108</v>
      </c>
      <c r="D57" s="504">
        <v>1</v>
      </c>
      <c r="E57" s="501" t="s">
        <v>390</v>
      </c>
      <c r="F57" s="669" t="s">
        <v>355</v>
      </c>
      <c r="G57" s="550"/>
    </row>
    <row r="58" spans="1:9" ht="15" x14ac:dyDescent="0.2">
      <c r="A58" s="540"/>
      <c r="B58" s="546"/>
      <c r="C58" s="516"/>
      <c r="D58" s="517"/>
      <c r="E58" s="516"/>
      <c r="F58" s="668"/>
      <c r="G58" s="550"/>
    </row>
    <row r="59" spans="1:9" ht="15" x14ac:dyDescent="0.2">
      <c r="A59" s="540"/>
      <c r="B59" s="547" t="s">
        <v>155</v>
      </c>
      <c r="C59" s="501" t="s">
        <v>108</v>
      </c>
      <c r="D59" s="504">
        <v>1</v>
      </c>
      <c r="E59" s="501" t="s">
        <v>372</v>
      </c>
      <c r="F59" s="669"/>
      <c r="G59" s="550"/>
    </row>
    <row r="60" spans="1:9" ht="15" x14ac:dyDescent="0.2">
      <c r="A60" s="540"/>
      <c r="B60" s="546"/>
      <c r="C60" s="516"/>
      <c r="D60" s="517"/>
      <c r="E60" s="516"/>
      <c r="F60" s="668" t="s">
        <v>387</v>
      </c>
      <c r="G60" s="550"/>
      <c r="H60" s="539"/>
      <c r="I60" s="539"/>
    </row>
    <row r="61" spans="1:9" ht="15" x14ac:dyDescent="0.2">
      <c r="A61" s="540"/>
      <c r="B61" s="547" t="s">
        <v>155</v>
      </c>
      <c r="C61" s="501" t="s">
        <v>108</v>
      </c>
      <c r="D61" s="504">
        <v>1</v>
      </c>
      <c r="E61" s="501" t="s">
        <v>209</v>
      </c>
      <c r="F61" s="669" t="s">
        <v>233</v>
      </c>
      <c r="G61" s="550"/>
    </row>
  </sheetData>
  <mergeCells count="21">
    <mergeCell ref="F38:F39"/>
    <mergeCell ref="B10:F10"/>
    <mergeCell ref="F13:F14"/>
    <mergeCell ref="F15:F16"/>
    <mergeCell ref="F17:F18"/>
    <mergeCell ref="F19:F20"/>
    <mergeCell ref="B24:F24"/>
    <mergeCell ref="F29:F30"/>
    <mergeCell ref="F27:F28"/>
    <mergeCell ref="F31:F33"/>
    <mergeCell ref="F34:F35"/>
    <mergeCell ref="F36:F37"/>
    <mergeCell ref="F56:F57"/>
    <mergeCell ref="F58:F59"/>
    <mergeCell ref="F60:F61"/>
    <mergeCell ref="B43:F43"/>
    <mergeCell ref="F46:F47"/>
    <mergeCell ref="F48:F49"/>
    <mergeCell ref="F50:F51"/>
    <mergeCell ref="F52:F53"/>
    <mergeCell ref="F54:F55"/>
  </mergeCells>
  <hyperlinks>
    <hyperlink ref="H16" r:id="rId1" xr:uid="{00000000-0004-0000-0500-000000000000}"/>
  </hyperlinks>
  <printOptions horizontalCentered="1"/>
  <pageMargins left="0.25" right="0.25" top="0.75" bottom="0.75" header="0.3" footer="0.3"/>
  <pageSetup scale="69" orientation="portrait" r:id="rId2"/>
  <headerFooter alignWithMargins="0">
    <oddFooter>&amp;L&amp;A&amp;C                &amp;F&amp;R&amp;D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M62"/>
  <sheetViews>
    <sheetView showGridLines="0" zoomScale="90" zoomScaleNormal="90" zoomScaleSheetLayoutView="100" workbookViewId="0">
      <selection activeCell="G37" sqref="G37"/>
    </sheetView>
  </sheetViews>
  <sheetFormatPr defaultColWidth="18.7109375" defaultRowHeight="12.95" customHeight="1" x14ac:dyDescent="0.2"/>
  <cols>
    <col min="1" max="1" width="3.140625" style="539" customWidth="1"/>
    <col min="2" max="2" width="11" style="242" customWidth="1"/>
    <col min="3" max="3" width="24.7109375" style="539" customWidth="1"/>
    <col min="4" max="4" width="8.42578125" style="539" customWidth="1"/>
    <col min="5" max="5" width="46.28515625" style="539" customWidth="1"/>
    <col min="6" max="6" width="53.7109375" style="659" customWidth="1"/>
    <col min="7" max="7" width="4" style="557" customWidth="1"/>
    <col min="8" max="8" width="8.7109375" style="540" hidden="1" customWidth="1"/>
    <col min="9" max="9" width="12.5703125" style="539" customWidth="1"/>
    <col min="10" max="10" width="7.5703125" style="539" customWidth="1"/>
    <col min="11" max="11" width="4.42578125" style="539" customWidth="1"/>
    <col min="12" max="12" width="7.28515625" style="539" customWidth="1"/>
    <col min="13" max="13" width="11.42578125" style="539" customWidth="1"/>
    <col min="14" max="16384" width="18.7109375" style="539"/>
  </cols>
  <sheetData>
    <row r="1" spans="1:8" ht="12.75" customHeight="1" x14ac:dyDescent="0.2"/>
    <row r="2" spans="1:8" ht="15" x14ac:dyDescent="0.2">
      <c r="B2" s="620" t="s">
        <v>257</v>
      </c>
      <c r="C2" s="521"/>
      <c r="D2" s="521"/>
      <c r="E2" s="521"/>
      <c r="F2" s="521"/>
      <c r="G2" s="558"/>
    </row>
    <row r="3" spans="1:8" ht="15" x14ac:dyDescent="0.2">
      <c r="B3" s="620" t="s">
        <v>456</v>
      </c>
      <c r="C3" s="521"/>
      <c r="D3" s="521"/>
      <c r="E3" s="521"/>
      <c r="F3" s="521"/>
      <c r="G3" s="558"/>
    </row>
    <row r="4" spans="1:8" s="540" customFormat="1" ht="15" customHeight="1" x14ac:dyDescent="0.2">
      <c r="A4" s="539"/>
      <c r="B4" s="522"/>
      <c r="C4" s="521"/>
      <c r="D4" s="521"/>
      <c r="E4" s="521"/>
      <c r="F4" s="521"/>
      <c r="G4" s="558"/>
    </row>
    <row r="5" spans="1:8" ht="15.75" x14ac:dyDescent="0.25">
      <c r="B5" s="518" t="s">
        <v>538</v>
      </c>
      <c r="C5" s="523"/>
      <c r="D5" s="524"/>
      <c r="E5" s="523"/>
      <c r="F5" s="523"/>
      <c r="G5" s="558"/>
    </row>
    <row r="6" spans="1:8" s="135" customFormat="1" ht="15" customHeight="1" x14ac:dyDescent="0.25">
      <c r="B6" s="518"/>
      <c r="C6" s="523"/>
      <c r="D6" s="524"/>
      <c r="E6" s="523"/>
      <c r="F6" s="523"/>
      <c r="G6" s="558"/>
    </row>
    <row r="7" spans="1:8" s="135" customFormat="1" ht="15" customHeight="1" x14ac:dyDescent="0.2">
      <c r="B7" s="619" t="s">
        <v>272</v>
      </c>
      <c r="C7" s="523"/>
      <c r="D7" s="524"/>
      <c r="E7" s="523"/>
      <c r="F7" s="523"/>
      <c r="G7" s="558"/>
    </row>
    <row r="8" spans="1:8" ht="15" x14ac:dyDescent="0.2">
      <c r="B8" s="620"/>
      <c r="C8" s="523"/>
      <c r="D8" s="524"/>
      <c r="E8" s="523"/>
      <c r="F8" s="523"/>
      <c r="G8" s="558"/>
    </row>
    <row r="9" spans="1:8" s="540" customFormat="1" ht="7.5" customHeight="1" x14ac:dyDescent="0.2">
      <c r="A9" s="539"/>
      <c r="B9" s="522"/>
      <c r="C9" s="521"/>
      <c r="D9" s="521"/>
      <c r="E9" s="521"/>
      <c r="F9" s="521"/>
      <c r="G9" s="558"/>
    </row>
    <row r="10" spans="1:8" s="540" customFormat="1" ht="15.75" x14ac:dyDescent="0.25">
      <c r="A10" s="539"/>
      <c r="B10" s="670" t="s">
        <v>504</v>
      </c>
      <c r="C10" s="671"/>
      <c r="D10" s="671"/>
      <c r="E10" s="671"/>
      <c r="F10" s="671"/>
      <c r="G10" s="559"/>
    </row>
    <row r="11" spans="1:8" s="540" customFormat="1" ht="12.75" customHeight="1" x14ac:dyDescent="0.25">
      <c r="A11" s="539"/>
      <c r="B11" s="519"/>
      <c r="C11" s="525"/>
      <c r="D11" s="525"/>
      <c r="E11" s="525"/>
      <c r="F11" s="525"/>
      <c r="G11" s="558"/>
      <c r="H11" s="540" t="s">
        <v>358</v>
      </c>
    </row>
    <row r="12" spans="1:8" s="540" customFormat="1" ht="15.75" x14ac:dyDescent="0.2">
      <c r="A12" s="539"/>
      <c r="B12" s="541" t="s">
        <v>105</v>
      </c>
      <c r="C12" s="542" t="s">
        <v>106</v>
      </c>
      <c r="D12" s="542" t="s">
        <v>129</v>
      </c>
      <c r="E12" s="542" t="s">
        <v>107</v>
      </c>
      <c r="F12" s="542" t="s">
        <v>576</v>
      </c>
      <c r="G12" s="559"/>
      <c r="H12" s="513" t="s">
        <v>349</v>
      </c>
    </row>
    <row r="13" spans="1:8" s="540" customFormat="1" ht="15" x14ac:dyDescent="0.2">
      <c r="A13" s="539"/>
      <c r="B13" s="544"/>
      <c r="C13" s="498"/>
      <c r="D13" s="499"/>
      <c r="E13" s="498"/>
      <c r="F13" s="668"/>
      <c r="G13" s="558"/>
    </row>
    <row r="14" spans="1:8" s="540" customFormat="1" ht="15" x14ac:dyDescent="0.2">
      <c r="A14" s="539"/>
      <c r="B14" s="547" t="s">
        <v>277</v>
      </c>
      <c r="C14" s="501" t="s">
        <v>357</v>
      </c>
      <c r="D14" s="500">
        <v>1</v>
      </c>
      <c r="E14" s="501" t="s">
        <v>356</v>
      </c>
      <c r="F14" s="669"/>
      <c r="G14" s="560"/>
    </row>
    <row r="15" spans="1:8" s="540" customFormat="1" ht="15" x14ac:dyDescent="0.2">
      <c r="A15" s="539"/>
      <c r="B15" s="544"/>
      <c r="C15" s="498"/>
      <c r="D15" s="499"/>
      <c r="E15" s="498"/>
      <c r="F15" s="668" t="s">
        <v>574</v>
      </c>
      <c r="G15" s="558"/>
    </row>
    <row r="16" spans="1:8" s="540" customFormat="1" ht="15" x14ac:dyDescent="0.2">
      <c r="A16" s="539"/>
      <c r="B16" s="547" t="s">
        <v>336</v>
      </c>
      <c r="C16" s="501" t="s">
        <v>337</v>
      </c>
      <c r="D16" s="500">
        <v>1</v>
      </c>
      <c r="E16" s="530" t="s">
        <v>361</v>
      </c>
      <c r="F16" s="669"/>
      <c r="G16" s="561"/>
    </row>
    <row r="17" spans="1:12" s="540" customFormat="1" ht="19.5" customHeight="1" x14ac:dyDescent="0.2">
      <c r="A17" s="539"/>
      <c r="B17" s="546"/>
      <c r="C17" s="516"/>
      <c r="D17" s="517"/>
      <c r="E17" s="516"/>
      <c r="F17" s="672" t="s">
        <v>398</v>
      </c>
      <c r="G17" s="561"/>
    </row>
    <row r="18" spans="1:12" s="540" customFormat="1" ht="15" x14ac:dyDescent="0.2">
      <c r="A18" s="539"/>
      <c r="B18" s="547" t="s">
        <v>344</v>
      </c>
      <c r="C18" s="501" t="s">
        <v>338</v>
      </c>
      <c r="D18" s="504">
        <v>1</v>
      </c>
      <c r="E18" s="501" t="s">
        <v>341</v>
      </c>
      <c r="F18" s="673"/>
      <c r="G18" s="558"/>
    </row>
    <row r="19" spans="1:12" s="502" customFormat="1" ht="15" customHeight="1" x14ac:dyDescent="0.2">
      <c r="A19" s="503"/>
      <c r="B19" s="546"/>
      <c r="C19" s="516"/>
      <c r="D19" s="517"/>
      <c r="E19" s="516"/>
      <c r="F19" s="672"/>
      <c r="G19" s="558"/>
    </row>
    <row r="20" spans="1:12" s="502" customFormat="1" ht="15" x14ac:dyDescent="0.2">
      <c r="A20" s="503"/>
      <c r="B20" s="547" t="s">
        <v>339</v>
      </c>
      <c r="C20" s="501" t="s">
        <v>340</v>
      </c>
      <c r="D20" s="504">
        <v>2</v>
      </c>
      <c r="E20" s="501" t="s">
        <v>479</v>
      </c>
      <c r="F20" s="673"/>
      <c r="G20" s="558"/>
    </row>
    <row r="21" spans="1:12" ht="15" x14ac:dyDescent="0.2">
      <c r="A21" s="540"/>
      <c r="B21" s="527"/>
      <c r="C21" s="523"/>
      <c r="D21" s="524"/>
      <c r="E21" s="523"/>
      <c r="F21" s="523"/>
      <c r="G21" s="558"/>
    </row>
    <row r="22" spans="1:12" ht="15" x14ac:dyDescent="0.2">
      <c r="A22" s="540"/>
      <c r="B22" s="527"/>
      <c r="C22" s="523"/>
      <c r="D22" s="524"/>
      <c r="E22" s="523"/>
      <c r="F22" s="523"/>
      <c r="G22" s="558"/>
    </row>
    <row r="23" spans="1:12" ht="15" x14ac:dyDescent="0.2">
      <c r="A23" s="540"/>
      <c r="B23" s="527"/>
      <c r="C23" s="523"/>
      <c r="D23" s="524"/>
      <c r="E23" s="523"/>
      <c r="F23" s="523"/>
      <c r="G23" s="558"/>
    </row>
    <row r="24" spans="1:12" s="543" customFormat="1" ht="15.75" x14ac:dyDescent="0.25">
      <c r="B24" s="670" t="s">
        <v>502</v>
      </c>
      <c r="C24" s="674"/>
      <c r="D24" s="674"/>
      <c r="E24" s="674"/>
      <c r="F24" s="674"/>
      <c r="G24" s="558"/>
    </row>
    <row r="25" spans="1:12" s="543" customFormat="1" ht="5.25" customHeight="1" x14ac:dyDescent="0.25">
      <c r="B25" s="520"/>
      <c r="C25" s="525"/>
      <c r="D25" s="525"/>
      <c r="E25" s="525"/>
      <c r="F25" s="525"/>
      <c r="G25" s="558"/>
    </row>
    <row r="26" spans="1:12" ht="15.75" customHeight="1" x14ac:dyDescent="0.2">
      <c r="A26" s="540"/>
      <c r="B26" s="541" t="s">
        <v>105</v>
      </c>
      <c r="C26" s="542" t="s">
        <v>106</v>
      </c>
      <c r="D26" s="542" t="s">
        <v>129</v>
      </c>
      <c r="E26" s="542" t="s">
        <v>107</v>
      </c>
      <c r="F26" s="542" t="s">
        <v>576</v>
      </c>
      <c r="G26" s="558"/>
      <c r="H26" s="543"/>
    </row>
    <row r="27" spans="1:12" ht="14.25" customHeight="1" x14ac:dyDescent="0.2">
      <c r="A27" s="540"/>
      <c r="B27" s="545"/>
      <c r="C27" s="514"/>
      <c r="D27" s="515"/>
      <c r="E27" s="514"/>
      <c r="F27" s="672" t="s">
        <v>567</v>
      </c>
      <c r="G27" s="558"/>
      <c r="H27" s="543"/>
    </row>
    <row r="28" spans="1:12" ht="15" x14ac:dyDescent="0.2">
      <c r="A28" s="540"/>
      <c r="B28" s="547" t="s">
        <v>342</v>
      </c>
      <c r="C28" s="501" t="s">
        <v>568</v>
      </c>
      <c r="D28" s="500">
        <v>1</v>
      </c>
      <c r="E28" s="501" t="s">
        <v>361</v>
      </c>
      <c r="F28" s="669"/>
      <c r="G28" s="558"/>
      <c r="H28" s="543"/>
    </row>
    <row r="29" spans="1:12" ht="14.25" customHeight="1" x14ac:dyDescent="0.2">
      <c r="A29" s="540"/>
      <c r="B29" s="546"/>
      <c r="C29" s="516"/>
      <c r="D29" s="517"/>
      <c r="E29" s="498"/>
      <c r="F29" s="672" t="s">
        <v>368</v>
      </c>
      <c r="G29" s="558"/>
      <c r="H29" s="543"/>
    </row>
    <row r="30" spans="1:12" ht="15" x14ac:dyDescent="0.2">
      <c r="A30" s="540"/>
      <c r="B30" s="547" t="s">
        <v>342</v>
      </c>
      <c r="C30" s="501" t="s">
        <v>367</v>
      </c>
      <c r="D30" s="500">
        <v>1</v>
      </c>
      <c r="E30" s="501" t="s">
        <v>343</v>
      </c>
      <c r="F30" s="669"/>
      <c r="G30" s="558"/>
      <c r="H30" s="543"/>
    </row>
    <row r="31" spans="1:12" ht="15" customHeight="1" x14ac:dyDescent="0.2">
      <c r="A31" s="540"/>
      <c r="B31" s="546"/>
      <c r="C31" s="516"/>
      <c r="D31" s="517"/>
      <c r="E31" s="498"/>
      <c r="F31" s="672" t="s">
        <v>573</v>
      </c>
      <c r="G31" s="558"/>
      <c r="H31" s="543"/>
      <c r="L31" s="654"/>
    </row>
    <row r="32" spans="1:12" ht="15" x14ac:dyDescent="0.2">
      <c r="A32" s="540"/>
      <c r="B32" s="544"/>
      <c r="C32" s="498"/>
      <c r="D32" s="499"/>
      <c r="E32" s="498"/>
      <c r="F32" s="675"/>
      <c r="G32" s="558"/>
      <c r="H32" s="543"/>
      <c r="L32" s="654"/>
    </row>
    <row r="33" spans="1:13" ht="15" x14ac:dyDescent="0.2">
      <c r="A33" s="540"/>
      <c r="B33" s="547" t="s">
        <v>327</v>
      </c>
      <c r="C33" s="501" t="s">
        <v>326</v>
      </c>
      <c r="D33" s="500">
        <v>1</v>
      </c>
      <c r="E33" s="530" t="s">
        <v>361</v>
      </c>
      <c r="F33" s="673" t="s">
        <v>130</v>
      </c>
      <c r="G33" s="561"/>
      <c r="J33" s="658"/>
      <c r="L33" s="654"/>
      <c r="M33" s="654"/>
    </row>
    <row r="34" spans="1:13" ht="15" customHeight="1" x14ac:dyDescent="0.2">
      <c r="A34" s="540"/>
      <c r="B34" s="544"/>
      <c r="C34" s="498"/>
      <c r="D34" s="499"/>
      <c r="E34" s="498"/>
      <c r="F34" s="672" t="s">
        <v>350</v>
      </c>
      <c r="G34" s="558"/>
      <c r="H34" s="540" t="s">
        <v>359</v>
      </c>
      <c r="J34" s="658"/>
      <c r="L34" s="654"/>
      <c r="M34" s="654"/>
    </row>
    <row r="35" spans="1:13" ht="15" x14ac:dyDescent="0.2">
      <c r="A35" s="540"/>
      <c r="B35" s="547" t="s">
        <v>155</v>
      </c>
      <c r="C35" s="501" t="s">
        <v>108</v>
      </c>
      <c r="D35" s="504">
        <v>1</v>
      </c>
      <c r="E35" s="501" t="s">
        <v>391</v>
      </c>
      <c r="F35" s="669"/>
      <c r="G35" s="558"/>
      <c r="J35" s="658"/>
      <c r="L35" s="654"/>
      <c r="M35" s="654"/>
    </row>
    <row r="36" spans="1:13" ht="15" x14ac:dyDescent="0.2">
      <c r="A36" s="540"/>
      <c r="B36" s="546"/>
      <c r="C36" s="516"/>
      <c r="D36" s="517"/>
      <c r="E36" s="516"/>
      <c r="F36" s="668"/>
      <c r="G36" s="558"/>
      <c r="H36" s="539"/>
      <c r="J36" s="658"/>
      <c r="L36" s="654"/>
      <c r="M36" s="654"/>
    </row>
    <row r="37" spans="1:13" ht="15" x14ac:dyDescent="0.2">
      <c r="A37" s="540"/>
      <c r="B37" s="547" t="s">
        <v>155</v>
      </c>
      <c r="C37" s="501" t="s">
        <v>108</v>
      </c>
      <c r="D37" s="504">
        <v>1</v>
      </c>
      <c r="E37" s="501" t="s">
        <v>372</v>
      </c>
      <c r="F37" s="669" t="s">
        <v>233</v>
      </c>
      <c r="G37" s="558"/>
      <c r="H37" s="539"/>
      <c r="M37" s="654"/>
    </row>
    <row r="38" spans="1:13" ht="15" customHeight="1" x14ac:dyDescent="0.2">
      <c r="A38" s="540"/>
      <c r="B38" s="546"/>
      <c r="C38" s="516"/>
      <c r="D38" s="517"/>
      <c r="E38" s="516"/>
      <c r="F38" s="668" t="s">
        <v>387</v>
      </c>
      <c r="G38" s="558"/>
      <c r="H38" s="539"/>
    </row>
    <row r="39" spans="1:13" ht="15" x14ac:dyDescent="0.2">
      <c r="A39" s="540"/>
      <c r="B39" s="547" t="s">
        <v>155</v>
      </c>
      <c r="C39" s="501" t="s">
        <v>108</v>
      </c>
      <c r="D39" s="504">
        <v>1</v>
      </c>
      <c r="E39" s="501" t="s">
        <v>209</v>
      </c>
      <c r="F39" s="669" t="s">
        <v>233</v>
      </c>
      <c r="G39" s="558"/>
      <c r="H39" s="539"/>
    </row>
    <row r="40" spans="1:13" ht="15" x14ac:dyDescent="0.2">
      <c r="A40" s="540"/>
      <c r="B40" s="564"/>
      <c r="C40" s="564"/>
      <c r="D40" s="564"/>
      <c r="E40" s="564"/>
      <c r="F40" s="564"/>
      <c r="G40" s="558"/>
      <c r="H40" s="539"/>
    </row>
    <row r="41" spans="1:13" ht="15" x14ac:dyDescent="0.2">
      <c r="A41" s="540"/>
      <c r="B41" s="565"/>
      <c r="C41" s="565"/>
      <c r="D41" s="565"/>
      <c r="E41" s="565"/>
      <c r="F41" s="565"/>
      <c r="G41" s="558"/>
    </row>
    <row r="42" spans="1:13" s="543" customFormat="1" ht="15" x14ac:dyDescent="0.2">
      <c r="B42" s="521"/>
      <c r="C42" s="523"/>
      <c r="D42" s="524"/>
      <c r="E42" s="523"/>
      <c r="F42" s="523"/>
      <c r="G42" s="558"/>
    </row>
    <row r="43" spans="1:13" s="543" customFormat="1" ht="15" x14ac:dyDescent="0.2">
      <c r="B43" s="521"/>
      <c r="C43" s="523"/>
      <c r="D43" s="524"/>
      <c r="E43" s="523"/>
      <c r="F43" s="523"/>
      <c r="G43" s="558"/>
    </row>
    <row r="44" spans="1:13" ht="15.75" x14ac:dyDescent="0.25">
      <c r="A44" s="506"/>
      <c r="B44" s="670" t="s">
        <v>505</v>
      </c>
      <c r="C44" s="671"/>
      <c r="D44" s="671"/>
      <c r="E44" s="671"/>
      <c r="F44" s="671"/>
      <c r="G44" s="558"/>
      <c r="H44" s="543"/>
    </row>
    <row r="45" spans="1:13" ht="15" x14ac:dyDescent="0.2">
      <c r="A45" s="540"/>
      <c r="B45" s="526" t="s">
        <v>394</v>
      </c>
      <c r="C45" s="525"/>
      <c r="D45" s="525"/>
      <c r="E45" s="525"/>
      <c r="F45" s="525"/>
      <c r="G45" s="558"/>
    </row>
    <row r="46" spans="1:13" ht="15" x14ac:dyDescent="0.2">
      <c r="A46" s="540"/>
      <c r="B46" s="541" t="s">
        <v>105</v>
      </c>
      <c r="C46" s="542" t="s">
        <v>106</v>
      </c>
      <c r="D46" s="542" t="s">
        <v>129</v>
      </c>
      <c r="E46" s="542" t="s">
        <v>107</v>
      </c>
      <c r="F46" s="542" t="s">
        <v>576</v>
      </c>
      <c r="G46" s="558"/>
    </row>
    <row r="47" spans="1:13" ht="15" x14ac:dyDescent="0.2">
      <c r="A47" s="540"/>
      <c r="B47" s="544"/>
      <c r="C47" s="498"/>
      <c r="D47" s="499"/>
      <c r="E47" s="498"/>
      <c r="F47" s="668"/>
      <c r="G47" s="558"/>
      <c r="H47" s="540" t="s">
        <v>351</v>
      </c>
    </row>
    <row r="48" spans="1:13" ht="15" x14ac:dyDescent="0.2">
      <c r="A48" s="540"/>
      <c r="B48" s="545" t="s">
        <v>277</v>
      </c>
      <c r="C48" s="514" t="s">
        <v>357</v>
      </c>
      <c r="D48" s="515">
        <v>1</v>
      </c>
      <c r="E48" s="501" t="s">
        <v>360</v>
      </c>
      <c r="F48" s="669" t="s">
        <v>233</v>
      </c>
      <c r="G48" s="558"/>
    </row>
    <row r="49" spans="1:13" ht="15" customHeight="1" x14ac:dyDescent="0.2">
      <c r="A49" s="540"/>
      <c r="B49" s="546"/>
      <c r="C49" s="516"/>
      <c r="D49" s="517"/>
      <c r="E49" s="498"/>
      <c r="F49" s="668" t="s">
        <v>575</v>
      </c>
      <c r="G49" s="558"/>
      <c r="H49" s="543"/>
    </row>
    <row r="50" spans="1:13" s="540" customFormat="1" ht="19.5" customHeight="1" x14ac:dyDescent="0.2">
      <c r="B50" s="547" t="s">
        <v>327</v>
      </c>
      <c r="C50" s="501" t="s">
        <v>326</v>
      </c>
      <c r="D50" s="500">
        <v>1</v>
      </c>
      <c r="E50" s="530" t="s">
        <v>361</v>
      </c>
      <c r="F50" s="669"/>
      <c r="G50" s="558"/>
      <c r="I50" s="539"/>
      <c r="J50" s="539"/>
      <c r="K50" s="539"/>
      <c r="L50" s="539"/>
      <c r="M50" s="539"/>
    </row>
    <row r="51" spans="1:13" s="540" customFormat="1" ht="28.5" customHeight="1" x14ac:dyDescent="0.2">
      <c r="B51" s="544"/>
      <c r="C51" s="498"/>
      <c r="D51" s="499"/>
      <c r="E51" s="498"/>
      <c r="F51" s="672" t="s">
        <v>402</v>
      </c>
      <c r="G51" s="558"/>
      <c r="I51" s="539"/>
      <c r="J51" s="539"/>
      <c r="K51" s="539"/>
      <c r="L51" s="539"/>
      <c r="M51" s="539"/>
    </row>
    <row r="52" spans="1:13" s="540" customFormat="1" ht="15" x14ac:dyDescent="0.2">
      <c r="B52" s="547" t="s">
        <v>327</v>
      </c>
      <c r="C52" s="501" t="s">
        <v>392</v>
      </c>
      <c r="D52" s="500">
        <v>1</v>
      </c>
      <c r="E52" s="501" t="s">
        <v>393</v>
      </c>
      <c r="F52" s="669"/>
      <c r="G52" s="558"/>
      <c r="I52" s="539"/>
      <c r="J52" s="539"/>
      <c r="K52" s="539"/>
      <c r="L52" s="539"/>
      <c r="M52" s="539"/>
    </row>
    <row r="53" spans="1:13" s="540" customFormat="1" ht="27.75" customHeight="1" x14ac:dyDescent="0.2">
      <c r="B53" s="544"/>
      <c r="C53" s="498"/>
      <c r="D53" s="499"/>
      <c r="E53" s="498"/>
      <c r="F53" s="672" t="s">
        <v>395</v>
      </c>
      <c r="G53" s="558"/>
      <c r="I53" s="539"/>
      <c r="J53" s="539"/>
      <c r="K53" s="539"/>
      <c r="L53" s="539"/>
      <c r="M53" s="539"/>
    </row>
    <row r="54" spans="1:13" s="540" customFormat="1" ht="12.75" customHeight="1" x14ac:dyDescent="0.2">
      <c r="B54" s="547" t="s">
        <v>157</v>
      </c>
      <c r="C54" s="501" t="s">
        <v>367</v>
      </c>
      <c r="D54" s="504">
        <v>1</v>
      </c>
      <c r="E54" s="501" t="s">
        <v>343</v>
      </c>
      <c r="F54" s="669"/>
      <c r="G54" s="558"/>
      <c r="I54" s="539"/>
      <c r="J54" s="539"/>
      <c r="K54" s="539"/>
      <c r="L54" s="539"/>
      <c r="M54" s="539"/>
    </row>
    <row r="55" spans="1:13" s="540" customFormat="1" ht="27.75" customHeight="1" x14ac:dyDescent="0.2">
      <c r="B55" s="546"/>
      <c r="C55" s="516"/>
      <c r="D55" s="517"/>
      <c r="E55" s="516"/>
      <c r="F55" s="672" t="s">
        <v>403</v>
      </c>
      <c r="G55" s="558"/>
      <c r="I55" s="539"/>
      <c r="J55" s="539"/>
      <c r="K55" s="539"/>
      <c r="L55" s="539"/>
      <c r="M55" s="539"/>
    </row>
    <row r="56" spans="1:13" s="540" customFormat="1" ht="12.75" customHeight="1" x14ac:dyDescent="0.2">
      <c r="B56" s="547" t="s">
        <v>344</v>
      </c>
      <c r="C56" s="501" t="s">
        <v>346</v>
      </c>
      <c r="D56" s="504">
        <v>1</v>
      </c>
      <c r="E56" s="530" t="s">
        <v>361</v>
      </c>
      <c r="F56" s="669"/>
      <c r="G56" s="558"/>
      <c r="I56" s="539"/>
      <c r="J56" s="539"/>
      <c r="K56" s="539"/>
      <c r="L56" s="539"/>
      <c r="M56" s="539"/>
    </row>
    <row r="57" spans="1:13" s="540" customFormat="1" ht="27" customHeight="1" x14ac:dyDescent="0.2">
      <c r="B57" s="546"/>
      <c r="C57" s="516"/>
      <c r="D57" s="517"/>
      <c r="E57" s="516"/>
      <c r="F57" s="672" t="s">
        <v>397</v>
      </c>
      <c r="G57" s="558"/>
      <c r="I57" s="539"/>
      <c r="J57" s="539"/>
      <c r="K57" s="539"/>
      <c r="L57" s="539"/>
      <c r="M57" s="539"/>
    </row>
    <row r="58" spans="1:13" s="540" customFormat="1" ht="15" customHeight="1" x14ac:dyDescent="0.2">
      <c r="A58" s="539"/>
      <c r="B58" s="547" t="s">
        <v>155</v>
      </c>
      <c r="C58" s="501" t="s">
        <v>108</v>
      </c>
      <c r="D58" s="504">
        <v>1</v>
      </c>
      <c r="E58" s="501" t="s">
        <v>396</v>
      </c>
      <c r="F58" s="669" t="s">
        <v>355</v>
      </c>
      <c r="G58" s="558"/>
      <c r="I58" s="539"/>
      <c r="J58" s="539"/>
      <c r="K58" s="539"/>
      <c r="L58" s="539"/>
      <c r="M58" s="539"/>
    </row>
    <row r="59" spans="1:13" s="540" customFormat="1" ht="15" x14ac:dyDescent="0.2">
      <c r="A59" s="539"/>
      <c r="B59" s="546"/>
      <c r="C59" s="516"/>
      <c r="D59" s="517"/>
      <c r="E59" s="516"/>
      <c r="F59" s="668"/>
      <c r="G59" s="558"/>
      <c r="I59" s="539"/>
      <c r="J59" s="539"/>
      <c r="K59" s="539"/>
      <c r="L59" s="539"/>
      <c r="M59" s="539"/>
    </row>
    <row r="60" spans="1:13" s="540" customFormat="1" ht="15" x14ac:dyDescent="0.2">
      <c r="A60" s="539"/>
      <c r="B60" s="547" t="s">
        <v>155</v>
      </c>
      <c r="C60" s="501" t="s">
        <v>108</v>
      </c>
      <c r="D60" s="504">
        <v>1</v>
      </c>
      <c r="E60" s="501" t="s">
        <v>372</v>
      </c>
      <c r="F60" s="669"/>
      <c r="G60" s="558"/>
      <c r="I60" s="539"/>
      <c r="J60" s="539"/>
      <c r="K60" s="539"/>
      <c r="L60" s="539"/>
      <c r="M60" s="539"/>
    </row>
    <row r="61" spans="1:13" s="540" customFormat="1" ht="15" x14ac:dyDescent="0.2">
      <c r="A61" s="539"/>
      <c r="B61" s="546"/>
      <c r="C61" s="516"/>
      <c r="D61" s="517"/>
      <c r="E61" s="516"/>
      <c r="F61" s="668" t="s">
        <v>387</v>
      </c>
      <c r="G61" s="558"/>
      <c r="I61" s="539"/>
      <c r="J61" s="539"/>
      <c r="K61" s="539"/>
      <c r="L61" s="539"/>
      <c r="M61" s="539"/>
    </row>
    <row r="62" spans="1:13" s="540" customFormat="1" ht="15" x14ac:dyDescent="0.2">
      <c r="A62" s="539"/>
      <c r="B62" s="547" t="s">
        <v>155</v>
      </c>
      <c r="C62" s="501" t="s">
        <v>108</v>
      </c>
      <c r="D62" s="504">
        <v>1</v>
      </c>
      <c r="E62" s="501" t="s">
        <v>209</v>
      </c>
      <c r="F62" s="669" t="s">
        <v>233</v>
      </c>
      <c r="G62" s="558"/>
      <c r="I62" s="539"/>
      <c r="J62" s="539"/>
      <c r="K62" s="539"/>
      <c r="L62" s="539"/>
      <c r="M62" s="539"/>
    </row>
  </sheetData>
  <mergeCells count="21">
    <mergeCell ref="B24:F24"/>
    <mergeCell ref="B10:F10"/>
    <mergeCell ref="F13:F14"/>
    <mergeCell ref="F15:F16"/>
    <mergeCell ref="F17:F18"/>
    <mergeCell ref="F19:F20"/>
    <mergeCell ref="F57:F58"/>
    <mergeCell ref="F59:F60"/>
    <mergeCell ref="F61:F62"/>
    <mergeCell ref="F27:F28"/>
    <mergeCell ref="B44:F44"/>
    <mergeCell ref="F47:F48"/>
    <mergeCell ref="F49:F50"/>
    <mergeCell ref="F51:F52"/>
    <mergeCell ref="F53:F54"/>
    <mergeCell ref="F55:F56"/>
    <mergeCell ref="F29:F30"/>
    <mergeCell ref="F31:F33"/>
    <mergeCell ref="F34:F35"/>
    <mergeCell ref="F36:F37"/>
    <mergeCell ref="F38:F39"/>
  </mergeCells>
  <printOptions horizontalCentered="1"/>
  <pageMargins left="0.25" right="0.25" top="0.75" bottom="0.75" header="0.3" footer="0.3"/>
  <pageSetup scale="68" orientation="portrait" r:id="rId1"/>
  <headerFooter alignWithMargins="0">
    <oddFooter>&amp;L&amp;A&amp;C                &amp;F&amp;R&amp;D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autoPageBreaks="0"/>
  </sheetPr>
  <dimension ref="A1:AL868"/>
  <sheetViews>
    <sheetView zoomScale="90" zoomScaleNormal="90" zoomScaleSheetLayoutView="70" workbookViewId="0">
      <selection activeCell="P16" sqref="P16"/>
    </sheetView>
  </sheetViews>
  <sheetFormatPr defaultColWidth="18.7109375" defaultRowHeight="12.95" customHeight="1" x14ac:dyDescent="0.2"/>
  <cols>
    <col min="1" max="1" width="3.140625" style="154" customWidth="1"/>
    <col min="2" max="2" width="0.5703125" style="31" customWidth="1"/>
    <col min="3" max="3" width="27.71093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10.7109375" style="31" bestFit="1" customWidth="1"/>
    <col min="12" max="12" width="7.140625" style="121" customWidth="1"/>
    <col min="13" max="13" width="0.5703125" customWidth="1"/>
    <col min="14" max="14" width="28.42578125" customWidth="1"/>
    <col min="15" max="15" width="2.42578125" customWidth="1"/>
    <col min="16" max="16" width="12" style="48" customWidth="1"/>
    <col min="17" max="17" width="2.42578125" customWidth="1"/>
    <col min="18" max="18" width="11" style="18" customWidth="1"/>
    <col min="19" max="19" width="2.42578125" customWidth="1"/>
    <col min="20" max="20" width="10.7109375" style="48" customWidth="1"/>
    <col min="21" max="21" width="2.42578125" customWidth="1"/>
    <col min="22" max="22" width="10.7109375" style="30" bestFit="1" customWidth="1"/>
    <col min="23" max="23" width="3.28515625" hidden="1" customWidth="1"/>
  </cols>
  <sheetData>
    <row r="1" spans="1:38" s="31" customFormat="1" ht="12" customHeight="1" x14ac:dyDescent="0.25">
      <c r="A1" s="249"/>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x14ac:dyDescent="0.2">
      <c r="A7" s="198"/>
      <c r="L7" s="121"/>
      <c r="P7" s="46"/>
      <c r="R7" s="32"/>
      <c r="T7" s="46"/>
      <c r="X7" s="532"/>
      <c r="Y7" s="532"/>
      <c r="Z7" s="532"/>
      <c r="AA7" s="532"/>
      <c r="AB7" s="532"/>
      <c r="AC7" s="532"/>
      <c r="AD7" s="532"/>
      <c r="AE7" s="532"/>
      <c r="AF7" s="532"/>
      <c r="AG7" s="532"/>
      <c r="AH7" s="532"/>
      <c r="AI7" s="532"/>
      <c r="AJ7" s="532"/>
      <c r="AK7" s="532"/>
      <c r="AL7" s="532"/>
    </row>
    <row r="8" spans="1:38" s="31" customFormat="1" ht="15.75" x14ac:dyDescent="0.25">
      <c r="A8" s="249"/>
      <c r="C8" s="197" t="s">
        <v>506</v>
      </c>
      <c r="L8" s="121"/>
      <c r="M8" s="44"/>
      <c r="N8" s="197" t="s">
        <v>506</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75" x14ac:dyDescent="0.25">
      <c r="A10" s="198"/>
      <c r="B10" s="68"/>
      <c r="C10" s="182" t="s">
        <v>224</v>
      </c>
      <c r="D10" s="68"/>
      <c r="E10" s="68"/>
      <c r="F10" s="68"/>
      <c r="G10" s="68"/>
      <c r="H10" s="68"/>
      <c r="I10" s="68"/>
      <c r="J10" s="68"/>
      <c r="K10" s="68"/>
      <c r="L10" s="92"/>
      <c r="M10" s="92"/>
      <c r="N10" s="677" t="s">
        <v>164</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x14ac:dyDescent="0.2">
      <c r="A11" s="198"/>
      <c r="B11" s="84"/>
      <c r="C11" s="84"/>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ht="12.75" x14ac:dyDescent="0.2">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ht="12.75" x14ac:dyDescent="0.2">
      <c r="B16" s="6"/>
      <c r="C16" s="5"/>
      <c r="D16" s="6"/>
      <c r="E16" s="34"/>
      <c r="F16" s="6"/>
      <c r="G16" s="7"/>
      <c r="H16" s="6"/>
      <c r="I16" s="49"/>
      <c r="J16" s="6"/>
      <c r="K16" s="14"/>
      <c r="L16" s="186"/>
      <c r="M16" s="9"/>
      <c r="N16" s="180" t="s">
        <v>540</v>
      </c>
      <c r="O16" s="9"/>
      <c r="P16" s="115">
        <f>ySWWW_OR</f>
        <v>78</v>
      </c>
      <c r="Q16" s="9"/>
      <c r="R16" s="10" t="s">
        <v>91</v>
      </c>
      <c r="S16" s="9"/>
      <c r="T16" s="116">
        <f>pSWW</f>
        <v>6.42</v>
      </c>
      <c r="U16" s="9"/>
      <c r="V16" s="11">
        <f>P16*T16</f>
        <v>500.76</v>
      </c>
      <c r="W16" s="12"/>
      <c r="X16" s="136"/>
      <c r="Y16" s="532"/>
      <c r="Z16" s="532"/>
      <c r="AA16" s="532"/>
      <c r="AB16" s="532"/>
      <c r="AC16" s="532"/>
      <c r="AD16" s="532"/>
      <c r="AE16" s="532"/>
      <c r="AF16" s="532"/>
      <c r="AG16" s="532"/>
      <c r="AH16" s="532"/>
      <c r="AI16" s="532"/>
      <c r="AJ16" s="532"/>
      <c r="AK16" s="532"/>
      <c r="AL16" s="532"/>
    </row>
    <row r="17" spans="2:38" ht="12.75" x14ac:dyDescent="0.2">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75" x14ac:dyDescent="0.2">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75" x14ac:dyDescent="0.25">
      <c r="B20" s="7"/>
      <c r="C20" s="7"/>
      <c r="D20" s="7"/>
      <c r="E20" s="7"/>
      <c r="F20" s="7"/>
      <c r="G20" s="7"/>
      <c r="H20" s="7"/>
      <c r="I20" s="7"/>
      <c r="J20" s="7"/>
      <c r="K20" s="14"/>
      <c r="L20" s="188"/>
      <c r="M20" s="6"/>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2:38" ht="12.75" x14ac:dyDescent="0.2">
      <c r="B21" s="7"/>
      <c r="C21" s="7"/>
      <c r="D21" s="7"/>
      <c r="E21" s="7"/>
      <c r="F21" s="7"/>
      <c r="G21" s="7"/>
      <c r="H21" s="7"/>
      <c r="I21" s="7"/>
      <c r="J21" s="7"/>
      <c r="K21" s="14"/>
      <c r="L21" s="186"/>
      <c r="M21" s="6"/>
      <c r="N21" s="15" t="s">
        <v>92</v>
      </c>
      <c r="O21" s="6"/>
      <c r="P21" s="114">
        <v>80</v>
      </c>
      <c r="Q21" s="6"/>
      <c r="R21" s="16" t="s">
        <v>62</v>
      </c>
      <c r="S21" s="6"/>
      <c r="T21" s="111">
        <f>sdSWWW</f>
        <v>0.24</v>
      </c>
      <c r="U21" s="6"/>
      <c r="V21" s="14">
        <f>P21*T21</f>
        <v>19.2</v>
      </c>
      <c r="X21" s="136"/>
      <c r="Y21" s="532"/>
      <c r="Z21" s="532"/>
      <c r="AA21" s="532"/>
      <c r="AB21" s="532"/>
      <c r="AC21" s="532"/>
      <c r="AD21" s="532"/>
      <c r="AE21" s="532"/>
      <c r="AF21" s="532"/>
      <c r="AG21" s="532"/>
      <c r="AH21" s="532"/>
      <c r="AI21" s="532"/>
      <c r="AJ21" s="532"/>
      <c r="AK21" s="532"/>
      <c r="AL21" s="532"/>
    </row>
    <row r="22" spans="2:38" ht="12.75" x14ac:dyDescent="0.2">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69.399999999999991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70</v>
      </c>
      <c r="F24" s="6"/>
      <c r="G24" s="16" t="s">
        <v>62</v>
      </c>
      <c r="H24" s="6"/>
      <c r="I24" s="111">
        <f>Nitrogen</f>
        <v>0.77</v>
      </c>
      <c r="J24" s="6"/>
      <c r="K24" s="17">
        <f>E24*I24</f>
        <v>53.9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15</v>
      </c>
      <c r="F25" s="6"/>
      <c r="G25" s="16" t="s">
        <v>62</v>
      </c>
      <c r="H25" s="6"/>
      <c r="I25" s="111">
        <f>Phosphorous</f>
        <v>0.66</v>
      </c>
      <c r="J25" s="6"/>
      <c r="K25" s="17">
        <f>E25*I25</f>
        <v>9.9</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x14ac:dyDescent="0.2">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634"/>
      <c r="Z29" s="532"/>
      <c r="AA29" s="532"/>
      <c r="AB29" s="532"/>
      <c r="AC29" s="532"/>
      <c r="AD29" s="532"/>
      <c r="AE29" s="532"/>
      <c r="AF29" s="532"/>
      <c r="AG29" s="532"/>
      <c r="AH29" s="532"/>
      <c r="AI29" s="532"/>
      <c r="AJ29" s="532"/>
      <c r="AK29" s="532"/>
      <c r="AL29" s="532"/>
    </row>
    <row r="30" spans="2:38" ht="12.75" x14ac:dyDescent="0.2">
      <c r="B30" s="6"/>
      <c r="C30" s="43" t="s">
        <v>191</v>
      </c>
      <c r="D30" s="6"/>
      <c r="E30" s="112">
        <v>24</v>
      </c>
      <c r="F30" s="6"/>
      <c r="G30" s="104" t="s">
        <v>64</v>
      </c>
      <c r="H30" s="6"/>
      <c r="I30" s="111">
        <f>Glyphosphate</f>
        <v>0.2</v>
      </c>
      <c r="J30" s="6"/>
      <c r="K30" s="17">
        <f t="shared" ref="K30:K36" si="0">E30*I30</f>
        <v>4.8000000000000007</v>
      </c>
      <c r="L30" s="189"/>
      <c r="M30" s="6"/>
      <c r="N30" s="43" t="s">
        <v>565</v>
      </c>
      <c r="O30" s="6"/>
      <c r="P30" s="112">
        <v>10</v>
      </c>
      <c r="Q30" s="6"/>
      <c r="R30" s="104" t="s">
        <v>64</v>
      </c>
      <c r="S30" s="6"/>
      <c r="T30" s="111">
        <f>axiom</f>
        <v>2.14</v>
      </c>
      <c r="U30" s="6"/>
      <c r="V30" s="17">
        <f t="shared" ref="V30:V36" si="1">P30*T30</f>
        <v>21.400000000000002</v>
      </c>
      <c r="X30" s="136"/>
      <c r="Y30" s="532"/>
      <c r="Z30" s="532"/>
      <c r="AA30" s="532"/>
      <c r="AB30" s="532"/>
      <c r="AC30" s="532"/>
      <c r="AD30" s="532"/>
      <c r="AE30" s="532"/>
      <c r="AF30" s="532"/>
      <c r="AG30" s="532"/>
      <c r="AH30" s="532"/>
      <c r="AI30" s="532"/>
      <c r="AJ30" s="532"/>
      <c r="AK30" s="532"/>
      <c r="AL30" s="532"/>
    </row>
    <row r="31" spans="2:38" ht="12.75" x14ac:dyDescent="0.2">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136"/>
      <c r="Y31" s="532"/>
      <c r="Z31" s="532"/>
      <c r="AA31" s="532"/>
      <c r="AB31" s="532"/>
      <c r="AC31" s="532"/>
      <c r="AD31" s="532"/>
      <c r="AE31" s="532"/>
      <c r="AF31" s="532"/>
      <c r="AG31" s="532"/>
      <c r="AH31" s="532"/>
      <c r="AI31" s="532"/>
      <c r="AJ31" s="532"/>
      <c r="AK31" s="532"/>
      <c r="AL31" s="532"/>
    </row>
    <row r="32" spans="2:38" ht="12.75" x14ac:dyDescent="0.2">
      <c r="B32" s="6"/>
      <c r="C32" s="43" t="s">
        <v>571</v>
      </c>
      <c r="D32" s="6"/>
      <c r="E32" s="112">
        <v>1.7</v>
      </c>
      <c r="F32" s="6"/>
      <c r="G32" s="104" t="s">
        <v>62</v>
      </c>
      <c r="H32" s="6"/>
      <c r="I32" s="111">
        <f>AmSulf</f>
        <v>0.42</v>
      </c>
      <c r="J32" s="6"/>
      <c r="K32" s="17">
        <f t="shared" si="0"/>
        <v>0.71399999999999997</v>
      </c>
      <c r="L32" s="188"/>
      <c r="M32" s="6"/>
      <c r="N32" s="43" t="s">
        <v>571</v>
      </c>
      <c r="O32" s="6"/>
      <c r="P32" s="112">
        <v>1.5</v>
      </c>
      <c r="Q32" s="6"/>
      <c r="R32" s="104" t="s">
        <v>62</v>
      </c>
      <c r="S32" s="6"/>
      <c r="T32" s="111">
        <f>AmSulf</f>
        <v>0.42</v>
      </c>
      <c r="U32" s="6"/>
      <c r="V32" s="17">
        <f t="shared" si="1"/>
        <v>0.63</v>
      </c>
      <c r="X32" s="136"/>
      <c r="Y32" s="532"/>
      <c r="Z32" s="532"/>
      <c r="AA32" s="532"/>
      <c r="AB32" s="532"/>
      <c r="AC32" s="532"/>
      <c r="AD32" s="532"/>
      <c r="AE32" s="532"/>
      <c r="AF32" s="532"/>
      <c r="AG32" s="532"/>
      <c r="AH32" s="532"/>
      <c r="AI32" s="532"/>
      <c r="AJ32" s="532"/>
      <c r="AK32" s="532"/>
      <c r="AL32" s="532"/>
    </row>
    <row r="33" spans="1:38" ht="12.75" x14ac:dyDescent="0.2">
      <c r="A33" s="532"/>
      <c r="B33" s="6"/>
      <c r="C33" s="43"/>
      <c r="D33" s="6"/>
      <c r="E33" s="112"/>
      <c r="F33" s="6"/>
      <c r="G33" s="104"/>
      <c r="H33" s="6"/>
      <c r="I33" s="111"/>
      <c r="J33" s="6"/>
      <c r="K33" s="17">
        <f t="shared" si="0"/>
        <v>0</v>
      </c>
      <c r="L33" s="188"/>
      <c r="M33" s="6"/>
      <c r="N33" s="43" t="s">
        <v>572</v>
      </c>
      <c r="O33" s="6"/>
      <c r="P33" s="112">
        <v>6.4</v>
      </c>
      <c r="Q33" s="6"/>
      <c r="R33" s="104" t="s">
        <v>64</v>
      </c>
      <c r="S33" s="6"/>
      <c r="T33" s="111">
        <f>NIS</f>
        <v>0.14000000000000001</v>
      </c>
      <c r="U33" s="6"/>
      <c r="V33" s="17">
        <f t="shared" si="1"/>
        <v>0.89600000000000013</v>
      </c>
      <c r="X33" s="136"/>
      <c r="Y33" s="532"/>
      <c r="Z33" s="532"/>
      <c r="AA33" s="532"/>
      <c r="AB33" s="532"/>
      <c r="AC33" s="532"/>
      <c r="AD33" s="532"/>
      <c r="AE33" s="532"/>
      <c r="AF33" s="532"/>
      <c r="AG33" s="532"/>
      <c r="AH33" s="532"/>
      <c r="AI33" s="532"/>
      <c r="AJ33" s="532"/>
      <c r="AK33" s="532"/>
      <c r="AL33" s="532"/>
    </row>
    <row r="34" spans="1:38" ht="12.75" x14ac:dyDescent="0.2">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136"/>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ht="12.75" x14ac:dyDescent="0.2">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x14ac:dyDescent="0.2">
      <c r="B37" s="6"/>
      <c r="C37" s="6"/>
      <c r="D37" s="6"/>
      <c r="E37" s="47"/>
      <c r="F37" s="6"/>
      <c r="G37" s="7"/>
      <c r="H37" s="6"/>
      <c r="I37" s="49"/>
      <c r="J37" s="6"/>
      <c r="K37" s="17"/>
      <c r="L37" s="189"/>
      <c r="M37" s="6"/>
      <c r="N37" s="6"/>
      <c r="O37" s="6"/>
      <c r="P37" s="47"/>
      <c r="Q37" s="6"/>
      <c r="R37" s="7"/>
      <c r="S37" s="6"/>
      <c r="T37" s="49"/>
      <c r="U37" s="6"/>
      <c r="V37" s="17"/>
      <c r="X37" s="532"/>
      <c r="Z37" s="532"/>
      <c r="AA37" s="532"/>
      <c r="AB37" s="532"/>
      <c r="AC37" s="532"/>
      <c r="AD37" s="532"/>
      <c r="AE37" s="532"/>
      <c r="AF37" s="532"/>
      <c r="AG37" s="532"/>
      <c r="AH37" s="532"/>
      <c r="AI37" s="532"/>
      <c r="AJ37" s="532"/>
      <c r="AK37" s="532"/>
      <c r="AL37" s="532"/>
    </row>
    <row r="38" spans="1:38" ht="12.75" x14ac:dyDescent="0.2">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ht="12.75" x14ac:dyDescent="0.2">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ht="12.75" x14ac:dyDescent="0.2">
      <c r="A40" s="505"/>
      <c r="B40" s="6"/>
      <c r="C40" s="130" t="s">
        <v>102</v>
      </c>
      <c r="D40" s="6"/>
      <c r="E40" s="33">
        <v>1</v>
      </c>
      <c r="F40" s="6"/>
      <c r="G40" s="16" t="s">
        <v>63</v>
      </c>
      <c r="H40" s="6"/>
      <c r="I40" s="109">
        <f>'Machinery Costs'!K86</f>
        <v>11.549999999999999</v>
      </c>
      <c r="J40" s="6"/>
      <c r="K40" s="17">
        <f>E40*I40</f>
        <v>11.549999999999999</v>
      </c>
      <c r="L40" s="188"/>
      <c r="M40" s="6"/>
      <c r="N40" s="130" t="s">
        <v>102</v>
      </c>
      <c r="O40" s="6"/>
      <c r="P40" s="33">
        <v>1</v>
      </c>
      <c r="Q40" s="6"/>
      <c r="R40" s="104" t="s">
        <v>63</v>
      </c>
      <c r="S40" s="6"/>
      <c r="T40" s="109">
        <f>'Machinery Costs'!K114</f>
        <v>8.879999999999999</v>
      </c>
      <c r="U40" s="6"/>
      <c r="V40" s="17">
        <f>P40*T40</f>
        <v>8.879999999999999</v>
      </c>
      <c r="X40" s="136"/>
      <c r="Y40" s="532"/>
      <c r="Z40" s="532"/>
      <c r="AA40" s="532"/>
      <c r="AB40" s="532"/>
      <c r="AC40" s="532"/>
      <c r="AD40" s="532"/>
      <c r="AE40" s="532"/>
      <c r="AF40" s="532"/>
      <c r="AG40" s="532"/>
      <c r="AH40" s="532"/>
      <c r="AI40" s="532"/>
      <c r="AJ40" s="532"/>
      <c r="AK40" s="532"/>
      <c r="AL40" s="532"/>
    </row>
    <row r="41" spans="1:38" ht="12.75" x14ac:dyDescent="0.2">
      <c r="B41" s="6"/>
      <c r="C41" s="30" t="s">
        <v>103</v>
      </c>
      <c r="D41" s="6"/>
      <c r="E41" s="33">
        <v>1</v>
      </c>
      <c r="F41" s="6"/>
      <c r="G41" s="16" t="s">
        <v>63</v>
      </c>
      <c r="H41" s="6"/>
      <c r="I41" s="109">
        <f>'Machinery Costs'!I86</f>
        <v>1.7400000000000002</v>
      </c>
      <c r="J41" s="6"/>
      <c r="K41" s="17">
        <f>E41*I41</f>
        <v>1.7400000000000002</v>
      </c>
      <c r="L41" s="188"/>
      <c r="M41" s="6"/>
      <c r="N41" s="30" t="s">
        <v>103</v>
      </c>
      <c r="O41" s="6"/>
      <c r="P41" s="33">
        <v>1</v>
      </c>
      <c r="Q41" s="6"/>
      <c r="R41" s="16" t="s">
        <v>63</v>
      </c>
      <c r="S41" s="6"/>
      <c r="T41" s="109">
        <f>'Machinery Costs'!I114</f>
        <v>1.35</v>
      </c>
      <c r="U41" s="6"/>
      <c r="V41" s="17">
        <f>P41*T41</f>
        <v>1.35</v>
      </c>
      <c r="X41" s="136"/>
      <c r="Y41" s="532"/>
      <c r="Z41" s="532"/>
      <c r="AA41" s="532"/>
      <c r="AB41" s="532"/>
      <c r="AC41" s="532"/>
      <c r="AD41" s="532"/>
      <c r="AE41" s="532"/>
      <c r="AF41" s="532"/>
      <c r="AG41" s="532"/>
      <c r="AH41" s="532"/>
      <c r="AI41" s="532"/>
      <c r="AJ41" s="532"/>
      <c r="AK41" s="532"/>
      <c r="AL41" s="532"/>
    </row>
    <row r="42" spans="1:38" ht="12.75" x14ac:dyDescent="0.2">
      <c r="B42" s="6"/>
      <c r="C42" s="30" t="s">
        <v>25</v>
      </c>
      <c r="D42" s="6"/>
      <c r="E42" s="33">
        <v>1</v>
      </c>
      <c r="F42" s="6"/>
      <c r="G42" s="16" t="s">
        <v>63</v>
      </c>
      <c r="H42" s="6"/>
      <c r="I42" s="109">
        <f>'Machinery Costs'!H86</f>
        <v>4.71</v>
      </c>
      <c r="J42" s="6"/>
      <c r="K42" s="17">
        <f>E42*I42</f>
        <v>4.71</v>
      </c>
      <c r="L42" s="189"/>
      <c r="M42" s="6"/>
      <c r="N42" s="30" t="s">
        <v>25</v>
      </c>
      <c r="O42" s="6"/>
      <c r="P42" s="33">
        <v>1</v>
      </c>
      <c r="Q42" s="6"/>
      <c r="R42" s="16" t="s">
        <v>63</v>
      </c>
      <c r="S42" s="6"/>
      <c r="T42" s="109">
        <f>'Machinery Costs'!H114</f>
        <v>6.3681000000000001</v>
      </c>
      <c r="U42" s="6"/>
      <c r="V42" s="17">
        <f>P42*T42</f>
        <v>6.3681000000000001</v>
      </c>
      <c r="X42" s="136"/>
      <c r="Y42" s="532"/>
      <c r="Z42" s="532"/>
      <c r="AA42" s="532"/>
      <c r="AB42" s="532"/>
      <c r="AC42" s="532"/>
      <c r="AD42" s="532"/>
      <c r="AE42" s="532"/>
      <c r="AF42" s="532"/>
      <c r="AG42" s="532"/>
      <c r="AH42" s="532"/>
      <c r="AI42" s="532"/>
      <c r="AJ42" s="532"/>
      <c r="AK42" s="532"/>
      <c r="AL42" s="532"/>
    </row>
    <row r="43" spans="1:38" ht="12.75" x14ac:dyDescent="0.2">
      <c r="B43" s="6"/>
      <c r="C43" s="30" t="s">
        <v>54</v>
      </c>
      <c r="D43" s="6"/>
      <c r="E43" s="110">
        <f>'Machinery Costs'!L86</f>
        <v>0.48000000000000009</v>
      </c>
      <c r="F43" s="6"/>
      <c r="G43" s="104" t="s">
        <v>57</v>
      </c>
      <c r="H43" s="6"/>
      <c r="I43" s="111">
        <f>MachLabor</f>
        <v>20</v>
      </c>
      <c r="J43" s="6"/>
      <c r="K43" s="17">
        <f>E43*I43</f>
        <v>9.6000000000000014</v>
      </c>
      <c r="L43" s="188"/>
      <c r="M43" s="6"/>
      <c r="N43" s="30" t="s">
        <v>54</v>
      </c>
      <c r="O43" s="6"/>
      <c r="P43" s="110">
        <f>'Machinery Costs'!L114</f>
        <v>0.53</v>
      </c>
      <c r="Q43" s="6"/>
      <c r="R43" s="104" t="s">
        <v>57</v>
      </c>
      <c r="S43" s="6"/>
      <c r="T43" s="111">
        <f>MachLabor</f>
        <v>20</v>
      </c>
      <c r="U43" s="6"/>
      <c r="V43" s="17">
        <f>P43*T43</f>
        <v>10.600000000000001</v>
      </c>
      <c r="X43" s="136"/>
      <c r="Y43" s="532"/>
      <c r="Z43" s="532"/>
      <c r="AA43" s="532"/>
      <c r="AB43" s="532"/>
      <c r="AC43" s="532"/>
      <c r="AD43" s="532"/>
      <c r="AE43" s="532"/>
      <c r="AF43" s="532"/>
      <c r="AG43" s="532"/>
      <c r="AH43" s="532"/>
      <c r="AI43" s="532"/>
      <c r="AJ43" s="532"/>
      <c r="AK43" s="532"/>
      <c r="AL43" s="532"/>
    </row>
    <row r="44" spans="1:38" ht="9" customHeight="1" x14ac:dyDescent="0.2">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ht="12.75" x14ac:dyDescent="0.2">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ht="12.75" x14ac:dyDescent="0.2">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ht="12.75" x14ac:dyDescent="0.2">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ht="12.75" x14ac:dyDescent="0.2">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6.75" customHeight="1" x14ac:dyDescent="0.2">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x14ac:dyDescent="0.2">
      <c r="B50" s="6"/>
      <c r="C50" s="40"/>
      <c r="D50" s="6"/>
      <c r="E50" s="34"/>
      <c r="F50" s="6"/>
      <c r="G50" s="7"/>
      <c r="H50" s="6"/>
      <c r="I50" s="49"/>
      <c r="J50" s="6"/>
      <c r="K50" s="106"/>
      <c r="L50" s="188"/>
      <c r="M50" s="6"/>
      <c r="N50" s="40" t="s">
        <v>234</v>
      </c>
      <c r="O50" s="6"/>
      <c r="P50" s="34"/>
      <c r="Q50" s="6"/>
      <c r="R50" s="7"/>
      <c r="S50" s="6"/>
      <c r="T50" s="49"/>
      <c r="U50" s="6"/>
      <c r="V50" s="106">
        <f>SUM(V51:V61)</f>
        <v>20.826000000000001</v>
      </c>
      <c r="X50" s="532"/>
      <c r="Y50" s="532"/>
      <c r="Z50" s="532"/>
      <c r="AA50" s="532"/>
      <c r="AB50" s="532"/>
      <c r="AC50" s="532"/>
      <c r="AD50" s="532"/>
      <c r="AE50" s="532"/>
      <c r="AF50" s="532"/>
      <c r="AG50" s="532"/>
      <c r="AH50" s="532"/>
      <c r="AI50" s="532"/>
      <c r="AJ50" s="532"/>
      <c r="AK50" s="532"/>
      <c r="AL50" s="532"/>
    </row>
    <row r="51" spans="2:38" ht="3" customHeight="1" x14ac:dyDescent="0.2">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ht="12.75" x14ac:dyDescent="0.2">
      <c r="B52" s="6"/>
      <c r="C52" s="40"/>
      <c r="D52" s="6"/>
      <c r="E52" s="34"/>
      <c r="F52" s="6"/>
      <c r="G52" s="7"/>
      <c r="H52" s="6"/>
      <c r="I52" s="49"/>
      <c r="J52" s="6"/>
      <c r="K52" s="106"/>
      <c r="L52" s="188"/>
      <c r="M52" s="6"/>
      <c r="N52" s="130" t="s">
        <v>231</v>
      </c>
      <c r="O52" s="6"/>
      <c r="P52" s="114">
        <v>0</v>
      </c>
      <c r="Q52" s="6"/>
      <c r="R52" s="104" t="s">
        <v>275</v>
      </c>
      <c r="S52" s="6"/>
      <c r="T52" s="248">
        <f>P54*(P55*P16)</f>
        <v>0.78</v>
      </c>
      <c r="U52" s="6"/>
      <c r="V52" s="209">
        <f>P52*T52</f>
        <v>0</v>
      </c>
      <c r="X52" s="532"/>
      <c r="Y52" s="532"/>
      <c r="Z52" s="532"/>
      <c r="AA52" s="532"/>
      <c r="AB52" s="532"/>
      <c r="AC52" s="532"/>
      <c r="AD52" s="532"/>
      <c r="AE52" s="532"/>
      <c r="AF52" s="532"/>
      <c r="AG52" s="532"/>
      <c r="AH52" s="532"/>
      <c r="AI52" s="532"/>
      <c r="AJ52" s="532"/>
      <c r="AK52" s="532"/>
      <c r="AL52" s="532"/>
    </row>
    <row r="53" spans="2:38" ht="12.75" x14ac:dyDescent="0.2">
      <c r="B53" s="6"/>
      <c r="C53" s="40"/>
      <c r="D53" s="6"/>
      <c r="E53" s="34"/>
      <c r="F53" s="6"/>
      <c r="G53" s="7"/>
      <c r="H53" s="6"/>
      <c r="I53" s="49"/>
      <c r="J53" s="6"/>
      <c r="K53" s="106"/>
      <c r="L53" s="188"/>
      <c r="M53" s="6"/>
      <c r="N53" s="56" t="s">
        <v>549</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x14ac:dyDescent="0.2">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ht="12.75" x14ac:dyDescent="0.2">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ht="12.75" x14ac:dyDescent="0.2">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ht="12.75" x14ac:dyDescent="0.2">
      <c r="B57" s="6"/>
      <c r="C57" s="40"/>
      <c r="D57" s="6"/>
      <c r="E57" s="34"/>
      <c r="F57" s="6"/>
      <c r="G57" s="7"/>
      <c r="H57" s="6"/>
      <c r="I57" s="49"/>
      <c r="J57" s="6"/>
      <c r="K57" s="106"/>
      <c r="L57" s="188"/>
      <c r="M57" s="6"/>
      <c r="N57" s="130" t="s">
        <v>548</v>
      </c>
      <c r="O57" s="6"/>
      <c r="P57" s="244">
        <f>P16</f>
        <v>78</v>
      </c>
      <c r="Q57" s="6"/>
      <c r="R57" s="104" t="s">
        <v>91</v>
      </c>
      <c r="S57" s="6"/>
      <c r="T57" s="248">
        <f>(P59*P60)/P61</f>
        <v>0.26700000000000002</v>
      </c>
      <c r="U57" s="6"/>
      <c r="V57" s="209">
        <f>P57*T57</f>
        <v>20.826000000000001</v>
      </c>
      <c r="X57" s="136"/>
      <c r="Y57" s="532"/>
      <c r="Z57" s="532"/>
      <c r="AA57" s="532"/>
      <c r="AB57" s="532"/>
      <c r="AC57" s="532"/>
      <c r="AD57" s="532"/>
      <c r="AE57" s="532"/>
      <c r="AF57" s="532"/>
      <c r="AG57" s="532"/>
      <c r="AH57" s="532"/>
      <c r="AI57" s="532"/>
      <c r="AJ57" s="532"/>
      <c r="AK57" s="532"/>
      <c r="AL57" s="532"/>
    </row>
    <row r="58" spans="2:38" ht="12" customHeight="1" x14ac:dyDescent="0.2">
      <c r="B58" s="6"/>
      <c r="C58" s="40"/>
      <c r="D58" s="6"/>
      <c r="E58" s="34"/>
      <c r="F58" s="6"/>
      <c r="G58" s="7"/>
      <c r="H58" s="6"/>
      <c r="I58" s="49"/>
      <c r="J58" s="6"/>
      <c r="K58" s="106"/>
      <c r="L58" s="188"/>
      <c r="M58" s="6"/>
      <c r="N58" s="56" t="s">
        <v>550</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x14ac:dyDescent="0.2">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x14ac:dyDescent="0.2">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x14ac:dyDescent="0.2">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ht="12.75" x14ac:dyDescent="0.2">
      <c r="B63" s="6"/>
      <c r="C63" s="40" t="s">
        <v>40</v>
      </c>
      <c r="D63" s="6"/>
      <c r="E63" s="34"/>
      <c r="F63" s="6"/>
      <c r="G63" s="7"/>
      <c r="H63" s="6"/>
      <c r="I63" s="49"/>
      <c r="J63" s="6"/>
      <c r="K63" s="106">
        <f>SUM(K64:K66)</f>
        <v>0</v>
      </c>
      <c r="L63" s="188"/>
      <c r="M63" s="6"/>
      <c r="N63" s="40" t="s">
        <v>40</v>
      </c>
      <c r="O63" s="6"/>
      <c r="P63" s="34"/>
      <c r="Q63" s="6"/>
      <c r="R63" s="7"/>
      <c r="S63" s="6"/>
      <c r="T63" s="49"/>
      <c r="U63" s="6"/>
      <c r="V63" s="106">
        <f>SUM(V64:V66)</f>
        <v>19.399999999999999</v>
      </c>
      <c r="X63" s="532"/>
      <c r="Y63" s="532"/>
      <c r="Z63" s="532"/>
      <c r="AA63" s="532"/>
      <c r="AB63" s="532"/>
      <c r="AC63" s="532"/>
      <c r="AD63" s="532"/>
      <c r="AE63" s="532"/>
      <c r="AF63" s="532"/>
      <c r="AG63" s="532"/>
      <c r="AH63" s="532"/>
      <c r="AI63" s="532"/>
      <c r="AJ63" s="532"/>
      <c r="AK63" s="532"/>
      <c r="AL63" s="532"/>
    </row>
    <row r="64" spans="2:38" ht="12.75" x14ac:dyDescent="0.2">
      <c r="B64" s="6"/>
      <c r="C64" s="15"/>
      <c r="D64" s="6"/>
      <c r="E64" s="33"/>
      <c r="F64" s="6"/>
      <c r="G64" s="16"/>
      <c r="H64" s="6"/>
      <c r="I64" s="133"/>
      <c r="J64" s="6"/>
      <c r="K64" s="17">
        <f>E64*I64</f>
        <v>0</v>
      </c>
      <c r="L64" s="188"/>
      <c r="M64" s="6"/>
      <c r="N64" s="15" t="s">
        <v>65</v>
      </c>
      <c r="O64" s="6"/>
      <c r="P64" s="33">
        <v>1</v>
      </c>
      <c r="Q64" s="6"/>
      <c r="R64" s="16" t="s">
        <v>63</v>
      </c>
      <c r="S64" s="6"/>
      <c r="T64" s="113">
        <f>ciSWWW</f>
        <v>19.399999999999999</v>
      </c>
      <c r="U64" s="6"/>
      <c r="V64" s="17">
        <f>P64*T64</f>
        <v>19.399999999999999</v>
      </c>
      <c r="X64" s="136"/>
      <c r="Y64" s="136"/>
      <c r="Z64" s="532"/>
      <c r="AA64" s="532"/>
      <c r="AB64" s="532"/>
      <c r="AC64" s="532"/>
      <c r="AD64" s="532"/>
      <c r="AE64" s="532"/>
      <c r="AF64" s="532"/>
      <c r="AG64" s="532"/>
      <c r="AH64" s="532"/>
      <c r="AI64" s="532"/>
      <c r="AJ64" s="532"/>
      <c r="AK64" s="532"/>
      <c r="AL64" s="532"/>
    </row>
    <row r="65" spans="1:38" ht="12.75" x14ac:dyDescent="0.2">
      <c r="B65" s="6"/>
      <c r="C65" s="15"/>
      <c r="D65" s="6"/>
      <c r="E65" s="33"/>
      <c r="F65" s="6"/>
      <c r="G65" s="16"/>
      <c r="H65" s="6"/>
      <c r="I65" s="133"/>
      <c r="J65" s="6"/>
      <c r="K65" s="17">
        <f>E65*I65</f>
        <v>0</v>
      </c>
      <c r="L65" s="188"/>
      <c r="M65" s="6"/>
      <c r="N65" s="30" t="s">
        <v>53</v>
      </c>
      <c r="O65" s="6"/>
      <c r="P65" s="33"/>
      <c r="Q65" s="6"/>
      <c r="R65" s="16"/>
      <c r="S65" s="6"/>
      <c r="T65" s="111"/>
      <c r="U65" s="6"/>
      <c r="V65" s="17">
        <f>P65*T65</f>
        <v>0</v>
      </c>
      <c r="X65" s="532"/>
      <c r="Y65" s="532"/>
      <c r="Z65" s="532"/>
      <c r="AA65" s="532"/>
      <c r="AB65" s="532"/>
      <c r="AC65" s="532"/>
      <c r="AD65" s="532"/>
      <c r="AE65" s="532"/>
      <c r="AF65" s="532"/>
      <c r="AG65" s="532"/>
      <c r="AH65" s="532"/>
      <c r="AI65" s="532"/>
      <c r="AJ65" s="532"/>
      <c r="AK65" s="532"/>
      <c r="AL65" s="532"/>
    </row>
    <row r="66" spans="1:38" ht="12.75" x14ac:dyDescent="0.2">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75" x14ac:dyDescent="0.2">
      <c r="B67" s="6"/>
      <c r="C67" s="6"/>
      <c r="D67" s="6"/>
      <c r="E67" s="34"/>
      <c r="F67" s="6"/>
      <c r="G67" s="7"/>
      <c r="H67" s="6"/>
      <c r="I67" s="34"/>
      <c r="J67" s="6"/>
      <c r="K67" s="17"/>
      <c r="L67" s="188"/>
      <c r="M67" s="6"/>
      <c r="N67" s="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25" x14ac:dyDescent="0.2">
      <c r="B68" s="6"/>
      <c r="C68" s="56" t="s">
        <v>117</v>
      </c>
      <c r="D68" s="6"/>
      <c r="E68" s="34"/>
      <c r="F68" s="6"/>
      <c r="G68" s="7"/>
      <c r="H68" s="6"/>
      <c r="I68" s="34"/>
      <c r="J68" s="6"/>
      <c r="K68" s="17">
        <f>+(K23+K29+K38+K45+K63)*Operloan*0.75</f>
        <v>4.5209662500000007</v>
      </c>
      <c r="L68" s="188"/>
      <c r="M68" s="6"/>
      <c r="N68" s="56" t="s">
        <v>235</v>
      </c>
      <c r="O68" s="6"/>
      <c r="P68" s="34"/>
      <c r="Q68" s="6"/>
      <c r="R68" s="7"/>
      <c r="S68" s="6"/>
      <c r="T68" s="34"/>
      <c r="U68" s="6"/>
      <c r="V68" s="17">
        <f>+(V20+V23+V29+V38+V45+V50+V63)*Operloan*0.75</f>
        <v>6.6703636875000001</v>
      </c>
      <c r="X68" s="532"/>
      <c r="Y68" s="532"/>
      <c r="Z68" s="532"/>
      <c r="AA68" s="532"/>
      <c r="AB68" s="532"/>
      <c r="AC68" s="532"/>
      <c r="AD68" s="532"/>
      <c r="AE68" s="532"/>
      <c r="AF68" s="532"/>
      <c r="AG68" s="532"/>
      <c r="AH68" s="532"/>
      <c r="AI68" s="532"/>
      <c r="AJ68" s="532"/>
      <c r="AK68" s="532"/>
      <c r="AL68" s="532"/>
    </row>
    <row r="69" spans="1:38" ht="12.75" x14ac:dyDescent="0.2">
      <c r="B69" s="6"/>
      <c r="C69" s="6"/>
      <c r="D69" s="6"/>
      <c r="E69" s="34"/>
      <c r="F69" s="6"/>
      <c r="G69" s="7"/>
      <c r="H69" s="6"/>
      <c r="I69" s="34"/>
      <c r="J69" s="6"/>
      <c r="K69" s="17"/>
      <c r="L69" s="188"/>
      <c r="M69" s="6"/>
      <c r="N69" s="5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ht="12.75" x14ac:dyDescent="0.2">
      <c r="B70" s="40"/>
      <c r="C70" s="40" t="s">
        <v>85</v>
      </c>
      <c r="D70" s="40"/>
      <c r="E70" s="53"/>
      <c r="F70" s="40"/>
      <c r="G70" s="41"/>
      <c r="H70" s="40"/>
      <c r="I70" s="53"/>
      <c r="J70" s="40"/>
      <c r="K70" s="42">
        <f>SUM(K23,K29,K38,K45,K63,K68)</f>
        <v>109.35496625</v>
      </c>
      <c r="L70" s="188"/>
      <c r="M70" s="40"/>
      <c r="N70" s="40" t="s">
        <v>85</v>
      </c>
      <c r="O70" s="40"/>
      <c r="P70" s="53"/>
      <c r="Q70" s="40"/>
      <c r="R70" s="41"/>
      <c r="S70" s="40"/>
      <c r="T70" s="53"/>
      <c r="U70" s="40"/>
      <c r="V70" s="42">
        <f>SUM(V20,V23,V29,V38,V45,V50,V63,V68)</f>
        <v>161.3454636875</v>
      </c>
      <c r="X70" s="532"/>
      <c r="Y70" s="532"/>
      <c r="Z70" s="532"/>
      <c r="AA70" s="532"/>
      <c r="AB70" s="532"/>
      <c r="AC70" s="532"/>
      <c r="AD70" s="532"/>
      <c r="AE70" s="532"/>
      <c r="AF70" s="532"/>
      <c r="AG70" s="532"/>
      <c r="AH70" s="532"/>
      <c r="AI70" s="532"/>
      <c r="AJ70" s="532"/>
      <c r="AK70" s="532"/>
      <c r="AL70" s="532"/>
    </row>
    <row r="71" spans="1:38" s="37" customFormat="1" ht="12.75" x14ac:dyDescent="0.2">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ht="12.75" x14ac:dyDescent="0.2">
      <c r="B72" s="9"/>
      <c r="C72" s="9"/>
      <c r="D72" s="9"/>
      <c r="E72" s="58"/>
      <c r="F72" s="9"/>
      <c r="G72" s="13"/>
      <c r="H72" s="9"/>
      <c r="I72" s="58"/>
      <c r="J72" s="9"/>
      <c r="K72" s="183"/>
      <c r="L72" s="188"/>
      <c r="M72" s="193"/>
      <c r="N72" s="50" t="s">
        <v>303</v>
      </c>
      <c r="O72" s="50"/>
      <c r="P72" s="51"/>
      <c r="Q72" s="50"/>
      <c r="R72" s="52"/>
      <c r="S72" s="50"/>
      <c r="T72" s="51"/>
      <c r="U72" s="50"/>
      <c r="V72" s="73">
        <f>V16-V70</f>
        <v>339.41453631249999</v>
      </c>
      <c r="X72" s="532"/>
      <c r="Y72" s="532"/>
      <c r="Z72" s="532"/>
      <c r="AA72" s="532"/>
      <c r="AB72" s="532"/>
      <c r="AC72" s="532"/>
      <c r="AD72" s="532"/>
      <c r="AE72" s="532"/>
      <c r="AF72" s="532"/>
      <c r="AG72" s="532"/>
      <c r="AH72" s="532"/>
      <c r="AI72" s="532"/>
      <c r="AJ72" s="532"/>
      <c r="AK72" s="532"/>
      <c r="AL72" s="532"/>
    </row>
    <row r="73" spans="1:38" ht="12.75" x14ac:dyDescent="0.2">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ht="12.75" x14ac:dyDescent="0.2">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ht="12.75" x14ac:dyDescent="0.2">
      <c r="B75" s="6"/>
      <c r="C75" s="684" t="s">
        <v>100</v>
      </c>
      <c r="D75" s="684"/>
      <c r="E75" s="684"/>
      <c r="F75" s="6"/>
      <c r="G75" s="16" t="s">
        <v>63</v>
      </c>
      <c r="H75" s="6"/>
      <c r="I75" s="109">
        <f>'Machinery Costs'!D86</f>
        <v>11.07</v>
      </c>
      <c r="J75" s="6"/>
      <c r="K75" s="17">
        <f>I75</f>
        <v>11.07</v>
      </c>
      <c r="M75" s="6"/>
      <c r="N75" s="679" t="s">
        <v>100</v>
      </c>
      <c r="O75" s="679"/>
      <c r="P75" s="679"/>
      <c r="Q75" s="6"/>
      <c r="R75" s="16" t="s">
        <v>63</v>
      </c>
      <c r="S75" s="6"/>
      <c r="T75" s="109">
        <f>'Machinery Costs'!D114</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ht="12.75" x14ac:dyDescent="0.2">
      <c r="B76" s="6"/>
      <c r="C76" s="684" t="s">
        <v>101</v>
      </c>
      <c r="D76" s="684"/>
      <c r="E76" s="684"/>
      <c r="F76" s="6"/>
      <c r="G76" s="16" t="s">
        <v>63</v>
      </c>
      <c r="H76" s="6"/>
      <c r="I76" s="109">
        <f>'Machinery Costs'!E86</f>
        <v>8.2900000000000009</v>
      </c>
      <c r="J76" s="6"/>
      <c r="K76" s="17">
        <f>I76</f>
        <v>8.2900000000000009</v>
      </c>
      <c r="M76" s="6"/>
      <c r="N76" s="679" t="s">
        <v>101</v>
      </c>
      <c r="O76" s="679"/>
      <c r="P76" s="679"/>
      <c r="Q76" s="6"/>
      <c r="R76" s="16" t="s">
        <v>63</v>
      </c>
      <c r="S76" s="6"/>
      <c r="T76" s="109">
        <f>'Machinery Costs'!E114</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x14ac:dyDescent="0.2">
      <c r="B77" s="6"/>
      <c r="C77" s="684" t="s">
        <v>3</v>
      </c>
      <c r="D77" s="684"/>
      <c r="E77" s="684"/>
      <c r="F77" s="6"/>
      <c r="G77" s="16" t="s">
        <v>63</v>
      </c>
      <c r="H77" s="6"/>
      <c r="I77" s="109">
        <f>'Machinery Costs'!F86</f>
        <v>4.3</v>
      </c>
      <c r="J77" s="6"/>
      <c r="K77" s="17">
        <f>I77</f>
        <v>4.3</v>
      </c>
      <c r="L77" s="191"/>
      <c r="M77" s="6"/>
      <c r="N77" s="679" t="s">
        <v>3</v>
      </c>
      <c r="O77" s="679"/>
      <c r="P77" s="679"/>
      <c r="Q77" s="6"/>
      <c r="R77" s="16" t="s">
        <v>63</v>
      </c>
      <c r="S77" s="6"/>
      <c r="T77" s="109">
        <f>'Machinery Costs'!F114</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x14ac:dyDescent="0.2">
      <c r="B78" s="71"/>
      <c r="C78" s="34"/>
      <c r="D78" s="34"/>
      <c r="E78" s="34"/>
      <c r="F78" s="6"/>
      <c r="G78" s="7"/>
      <c r="H78" s="6"/>
      <c r="I78" s="34"/>
      <c r="J78" s="6"/>
      <c r="K78" s="17"/>
      <c r="L78" s="191"/>
      <c r="M78" s="71"/>
      <c r="N78" s="683" t="s">
        <v>546</v>
      </c>
      <c r="O78" s="679"/>
      <c r="P78" s="679"/>
      <c r="Q78" s="9"/>
      <c r="R78" s="16" t="s">
        <v>63</v>
      </c>
      <c r="S78" s="9"/>
      <c r="T78" s="593">
        <f>K90*(1+Operloan)</f>
        <v>143.83582680937502</v>
      </c>
      <c r="U78" s="9"/>
      <c r="V78" s="183">
        <f>T78</f>
        <v>143.83582680937502</v>
      </c>
      <c r="X78" s="532"/>
      <c r="Y78" s="532"/>
      <c r="Z78" s="532"/>
      <c r="AA78" s="532"/>
      <c r="AB78" s="532"/>
      <c r="AC78" s="532"/>
      <c r="AD78" s="532"/>
      <c r="AE78" s="532"/>
      <c r="AF78" s="532"/>
      <c r="AG78" s="532"/>
      <c r="AH78" s="532"/>
      <c r="AI78" s="532"/>
      <c r="AJ78" s="532"/>
      <c r="AK78" s="532"/>
      <c r="AL78" s="532"/>
    </row>
    <row r="79" spans="1:38" ht="12.75" customHeight="1" x14ac:dyDescent="0.2">
      <c r="B79" s="6"/>
      <c r="C79" s="34"/>
      <c r="D79" s="34"/>
      <c r="E79" s="34"/>
      <c r="F79" s="6"/>
      <c r="G79" s="7"/>
      <c r="H79" s="6"/>
      <c r="I79" s="34"/>
      <c r="J79" s="6"/>
      <c r="K79" s="17"/>
      <c r="L79" s="191"/>
      <c r="M79" s="6"/>
      <c r="N79" s="683" t="s">
        <v>551</v>
      </c>
      <c r="O79" s="679"/>
      <c r="P79" s="679"/>
      <c r="Q79" s="6"/>
      <c r="R79" s="16" t="s">
        <v>63</v>
      </c>
      <c r="S79" s="6"/>
      <c r="T79" s="64">
        <f>ROUND((P16*T16)*P81-(V23+K23+V29+K29+T64)*P81, 0)</f>
        <v>112</v>
      </c>
      <c r="U79" s="6"/>
      <c r="V79" s="17">
        <f>+T79</f>
        <v>112</v>
      </c>
      <c r="X79" s="532"/>
      <c r="Y79" s="532"/>
      <c r="Z79" s="532"/>
      <c r="AA79" s="532"/>
      <c r="AB79" s="532"/>
      <c r="AC79" s="532"/>
      <c r="AD79" s="532"/>
      <c r="AE79" s="532"/>
      <c r="AF79" s="532"/>
      <c r="AG79" s="532"/>
      <c r="AH79" s="532"/>
      <c r="AI79" s="532"/>
      <c r="AJ79" s="532"/>
      <c r="AK79" s="532"/>
      <c r="AL79" s="532"/>
    </row>
    <row r="80" spans="1:38" ht="12.75" customHeight="1" x14ac:dyDescent="0.2">
      <c r="B80" s="6"/>
      <c r="C80" s="684" t="s">
        <v>128</v>
      </c>
      <c r="D80" s="684"/>
      <c r="E80" s="684"/>
      <c r="F80" s="39"/>
      <c r="G80" s="16" t="s">
        <v>63</v>
      </c>
      <c r="H80" s="6"/>
      <c r="I80" s="575">
        <f>Cashrent</f>
        <v>0</v>
      </c>
      <c r="J80" s="6"/>
      <c r="K80" s="17">
        <f>Cashrent</f>
        <v>0</v>
      </c>
      <c r="M80" s="6"/>
      <c r="N80" s="56" t="s">
        <v>556</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4.25" x14ac:dyDescent="0.2">
      <c r="B81" s="6"/>
      <c r="C81" s="684" t="s">
        <v>15</v>
      </c>
      <c r="D81" s="684"/>
      <c r="E81" s="684"/>
      <c r="F81" s="39"/>
      <c r="G81" s="576" t="s">
        <v>63</v>
      </c>
      <c r="H81" s="6"/>
      <c r="I81" s="64">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x14ac:dyDescent="0.2">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x14ac:dyDescent="0.2">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ht="12.75" x14ac:dyDescent="0.2">
      <c r="B84" s="6"/>
      <c r="C84" s="39"/>
      <c r="D84" s="39"/>
      <c r="E84" s="60"/>
      <c r="F84" s="39"/>
      <c r="G84" s="60"/>
      <c r="H84" s="6"/>
      <c r="I84" s="34"/>
      <c r="J84" s="6"/>
      <c r="K84" s="17"/>
      <c r="M84" s="6"/>
      <c r="N84" s="683" t="s">
        <v>34</v>
      </c>
      <c r="O84" s="679"/>
      <c r="P84" s="679"/>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25" x14ac:dyDescent="0.2">
      <c r="B85" s="6"/>
      <c r="C85" s="6"/>
      <c r="D85" s="6"/>
      <c r="E85" s="34"/>
      <c r="F85" s="6"/>
      <c r="G85" s="7"/>
      <c r="H85" s="6"/>
      <c r="I85" s="34"/>
      <c r="J85" s="6"/>
      <c r="K85" s="17"/>
      <c r="M85" s="6"/>
      <c r="N85" s="679" t="s">
        <v>236</v>
      </c>
      <c r="O85" s="679"/>
      <c r="P85" s="679"/>
      <c r="Q85" s="6"/>
      <c r="R85" s="16" t="s">
        <v>63</v>
      </c>
      <c r="S85" s="6"/>
      <c r="T85" s="64">
        <f>ROUND(($V$20+$V$23+$V$29+$V$38+$V$45+$V$50+$V$63)*OH, 0)</f>
        <v>4</v>
      </c>
      <c r="U85" s="6"/>
      <c r="V85" s="17">
        <f>T85</f>
        <v>4</v>
      </c>
      <c r="X85" s="532"/>
      <c r="Y85" s="532"/>
      <c r="Z85" s="532"/>
      <c r="AA85" s="532"/>
      <c r="AB85" s="532"/>
      <c r="AC85" s="532"/>
      <c r="AD85" s="532"/>
      <c r="AE85" s="532"/>
      <c r="AF85" s="532"/>
      <c r="AG85" s="532"/>
      <c r="AH85" s="532"/>
      <c r="AI85" s="532"/>
      <c r="AJ85" s="532"/>
      <c r="AK85" s="532"/>
      <c r="AL85" s="532"/>
    </row>
    <row r="86" spans="1:38" ht="14.25" x14ac:dyDescent="0.2">
      <c r="B86" s="6"/>
      <c r="C86" s="6"/>
      <c r="D86" s="6"/>
      <c r="E86" s="34"/>
      <c r="F86" s="6"/>
      <c r="G86" s="7"/>
      <c r="H86" s="6"/>
      <c r="I86" s="34"/>
      <c r="J86" s="6"/>
      <c r="K86" s="17"/>
      <c r="M86" s="6"/>
      <c r="N86" s="679" t="s">
        <v>237</v>
      </c>
      <c r="O86" s="679"/>
      <c r="P86" s="679"/>
      <c r="Q86" s="6"/>
      <c r="R86" s="16" t="s">
        <v>63</v>
      </c>
      <c r="S86" s="6"/>
      <c r="T86" s="64">
        <f>ROUND(($V$16)*Mgmtfee, 0)</f>
        <v>25</v>
      </c>
      <c r="U86" s="6"/>
      <c r="V86" s="17">
        <f>T86</f>
        <v>25</v>
      </c>
      <c r="W86" s="154"/>
      <c r="X86" s="532"/>
      <c r="Y86" s="532"/>
      <c r="Z86" s="532"/>
      <c r="AA86" s="532"/>
      <c r="AB86" s="532"/>
      <c r="AC86" s="532"/>
      <c r="AD86" s="532"/>
      <c r="AE86" s="532"/>
      <c r="AF86" s="532"/>
      <c r="AG86" s="532"/>
      <c r="AH86" s="532"/>
      <c r="AI86" s="532"/>
      <c r="AJ86" s="532"/>
      <c r="AK86" s="532"/>
      <c r="AL86" s="532"/>
    </row>
    <row r="87" spans="1:38" ht="12.75" x14ac:dyDescent="0.2">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ht="12.75" x14ac:dyDescent="0.2">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311.43582680937504</v>
      </c>
      <c r="X88" s="532"/>
      <c r="Y88" s="532"/>
      <c r="Z88" s="532"/>
      <c r="AA88" s="532"/>
      <c r="AB88" s="532"/>
      <c r="AC88" s="532"/>
      <c r="AD88" s="532"/>
      <c r="AE88" s="532"/>
      <c r="AF88" s="532"/>
      <c r="AG88" s="532"/>
      <c r="AH88" s="532"/>
      <c r="AI88" s="532"/>
      <c r="AJ88" s="532"/>
      <c r="AK88" s="532"/>
      <c r="AL88" s="532"/>
    </row>
    <row r="89" spans="1:38" ht="12.75" x14ac:dyDescent="0.2">
      <c r="B89" s="6"/>
      <c r="C89" s="9"/>
      <c r="D89" s="9"/>
      <c r="E89" s="58"/>
      <c r="F89" s="9"/>
      <c r="G89" s="13"/>
      <c r="H89" s="9"/>
      <c r="I89" s="58"/>
      <c r="J89" s="9"/>
      <c r="K89" s="183"/>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ht="12.75" x14ac:dyDescent="0.2">
      <c r="A90" s="89"/>
      <c r="B90" s="40"/>
      <c r="C90" s="193" t="s">
        <v>26</v>
      </c>
      <c r="D90" s="193"/>
      <c r="E90" s="194"/>
      <c r="F90" s="193"/>
      <c r="G90" s="195"/>
      <c r="H90" s="193"/>
      <c r="I90" s="194"/>
      <c r="J90" s="193"/>
      <c r="K90" s="196">
        <f>K70+K88</f>
        <v>136.01496625000001</v>
      </c>
      <c r="M90" s="40"/>
      <c r="N90" s="40" t="s">
        <v>26</v>
      </c>
      <c r="O90" s="40"/>
      <c r="P90" s="53"/>
      <c r="Q90" s="40"/>
      <c r="R90" s="41"/>
      <c r="S90" s="40"/>
      <c r="T90" s="53"/>
      <c r="U90" s="40"/>
      <c r="V90" s="42">
        <f>V70+V88</f>
        <v>472.78129049687504</v>
      </c>
      <c r="X90" s="532"/>
      <c r="Y90" s="532"/>
      <c r="Z90" s="532"/>
      <c r="AA90" s="532"/>
      <c r="AB90" s="532"/>
      <c r="AC90" s="532"/>
      <c r="AD90" s="532"/>
      <c r="AE90" s="532"/>
      <c r="AF90" s="532"/>
      <c r="AG90" s="532"/>
      <c r="AH90" s="532"/>
      <c r="AI90" s="532"/>
      <c r="AJ90" s="532"/>
      <c r="AK90" s="532"/>
      <c r="AL90" s="532"/>
    </row>
    <row r="91" spans="1:38" s="38" customFormat="1" ht="12.75" x14ac:dyDescent="0.2">
      <c r="A91" s="154"/>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ht="12.75" x14ac:dyDescent="0.2">
      <c r="A92" s="200"/>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25" x14ac:dyDescent="0.2">
      <c r="A93" s="154"/>
      <c r="B93" s="31"/>
      <c r="C93" s="680" t="s">
        <v>557</v>
      </c>
      <c r="D93" s="680"/>
      <c r="E93" s="680"/>
      <c r="F93" s="680"/>
      <c r="G93" s="680"/>
      <c r="H93" s="680"/>
      <c r="I93" s="680"/>
      <c r="J93" s="680"/>
      <c r="K93" s="680"/>
      <c r="L93" s="121"/>
      <c r="M93" s="193"/>
      <c r="N93" s="579" t="s">
        <v>442</v>
      </c>
      <c r="O93" s="579"/>
      <c r="P93" s="580"/>
      <c r="Q93" s="579"/>
      <c r="R93" s="580"/>
      <c r="S93" s="579"/>
      <c r="T93" s="580"/>
      <c r="U93" s="579"/>
      <c r="V93" s="581">
        <f>V16-V90</f>
        <v>27.978709503124946</v>
      </c>
      <c r="X93" s="200"/>
      <c r="Y93" s="200"/>
      <c r="Z93" s="200"/>
      <c r="AA93" s="200"/>
      <c r="AB93" s="200"/>
      <c r="AC93" s="200"/>
      <c r="AD93" s="200"/>
      <c r="AE93" s="200"/>
      <c r="AF93" s="200"/>
      <c r="AG93" s="200"/>
      <c r="AH93" s="200"/>
      <c r="AI93" s="200"/>
      <c r="AJ93" s="200"/>
      <c r="AK93" s="200"/>
      <c r="AL93" s="200"/>
    </row>
    <row r="94" spans="1:38" ht="29.25" customHeight="1" x14ac:dyDescent="0.2">
      <c r="C94" s="680" t="s">
        <v>553</v>
      </c>
      <c r="D94" s="680"/>
      <c r="E94" s="680"/>
      <c r="F94" s="680"/>
      <c r="G94" s="680"/>
      <c r="H94" s="680"/>
      <c r="I94" s="680"/>
      <c r="J94" s="680"/>
      <c r="K94" s="680"/>
      <c r="M94" s="193"/>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75" x14ac:dyDescent="0.2">
      <c r="M95" s="44"/>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1.25" customHeight="1" x14ac:dyDescent="0.2">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25" x14ac:dyDescent="0.2">
      <c r="A97" s="154"/>
      <c r="B97" s="55"/>
      <c r="C97" s="55"/>
      <c r="D97" s="55"/>
      <c r="E97" s="55"/>
      <c r="F97" s="55"/>
      <c r="G97" s="55"/>
      <c r="H97" s="55"/>
      <c r="I97" s="55"/>
      <c r="J97" s="55"/>
      <c r="K97" s="55"/>
      <c r="L97" s="121"/>
      <c r="M97" s="55"/>
      <c r="N97" s="680" t="s">
        <v>558</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x14ac:dyDescent="0.2">
      <c r="A98" s="154"/>
      <c r="L98" s="121"/>
      <c r="N98" s="680" t="s">
        <v>554</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2.75" x14ac:dyDescent="0.2">
      <c r="A99" s="154"/>
      <c r="B99" s="36"/>
      <c r="C99" s="36"/>
      <c r="D99" s="36"/>
      <c r="E99" s="36"/>
      <c r="F99" s="36"/>
      <c r="G99" s="36"/>
      <c r="H99" s="36"/>
      <c r="I99" s="36"/>
      <c r="J99" s="36"/>
      <c r="K99" s="36"/>
      <c r="L99" s="121"/>
      <c r="M99" s="36"/>
      <c r="N99" s="680" t="s">
        <v>547</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7.25" customHeight="1" x14ac:dyDescent="0.2">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75" x14ac:dyDescent="0.2">
      <c r="A101" s="532"/>
      <c r="B101" s="532"/>
      <c r="C101" s="532"/>
      <c r="D101" s="532"/>
      <c r="E101" s="532"/>
      <c r="F101" s="532"/>
      <c r="G101" s="532"/>
      <c r="H101" s="532"/>
      <c r="I101" s="532"/>
      <c r="J101" s="532"/>
      <c r="K101" s="532"/>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ht="12.75" x14ac:dyDescent="0.2">
      <c r="A102" s="532"/>
      <c r="B102" s="532"/>
      <c r="C102" s="532"/>
      <c r="D102" s="532"/>
      <c r="E102" s="532"/>
      <c r="F102" s="532"/>
      <c r="G102" s="532"/>
      <c r="H102" s="532"/>
      <c r="I102" s="532"/>
      <c r="J102" s="532"/>
      <c r="K102" s="532"/>
      <c r="M102" s="6"/>
      <c r="N102" s="643" t="s">
        <v>563</v>
      </c>
      <c r="O102" s="636"/>
      <c r="P102" s="637" t="s">
        <v>72</v>
      </c>
      <c r="Q102" s="636"/>
      <c r="R102" s="638" t="s">
        <v>559</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75" x14ac:dyDescent="0.2">
      <c r="A103" s="532"/>
      <c r="B103" s="532"/>
      <c r="C103" s="532"/>
      <c r="D103" s="532"/>
      <c r="E103" s="532"/>
      <c r="F103" s="532"/>
      <c r="G103" s="532"/>
      <c r="H103" s="532"/>
      <c r="I103" s="532"/>
      <c r="J103" s="532"/>
      <c r="K103" s="532"/>
      <c r="M103" s="6"/>
      <c r="N103" s="644" t="s">
        <v>560</v>
      </c>
      <c r="O103" s="636"/>
      <c r="P103" s="639">
        <f>V70</f>
        <v>161.3454636875</v>
      </c>
      <c r="Q103" s="636"/>
      <c r="R103" s="640">
        <f>P103/P16</f>
        <v>2.0685315857371793</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75" x14ac:dyDescent="0.2">
      <c r="A104" s="532"/>
      <c r="B104" s="532"/>
      <c r="C104" s="532"/>
      <c r="D104" s="532"/>
      <c r="E104" s="532"/>
      <c r="F104" s="532"/>
      <c r="G104" s="532"/>
      <c r="H104" s="532"/>
      <c r="I104" s="532"/>
      <c r="J104" s="532"/>
      <c r="K104" s="532"/>
      <c r="M104" s="6"/>
      <c r="N104" s="644" t="s">
        <v>561</v>
      </c>
      <c r="O104" s="636"/>
      <c r="P104" s="639">
        <f>V88</f>
        <v>311.43582680937504</v>
      </c>
      <c r="Q104" s="636"/>
      <c r="R104" s="640">
        <f>P104/P16</f>
        <v>3.9927670103766033</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75" x14ac:dyDescent="0.2">
      <c r="A105" s="532"/>
      <c r="B105" s="532"/>
      <c r="C105" s="532"/>
      <c r="D105" s="532"/>
      <c r="E105" s="532"/>
      <c r="F105" s="532"/>
      <c r="G105" s="532"/>
      <c r="H105" s="532"/>
      <c r="I105" s="532"/>
      <c r="J105" s="532"/>
      <c r="K105" s="532"/>
      <c r="M105" s="6"/>
      <c r="N105" s="644" t="s">
        <v>562</v>
      </c>
      <c r="O105" s="636"/>
      <c r="P105" s="639">
        <f>V90</f>
        <v>472.78129049687504</v>
      </c>
      <c r="Q105" s="636"/>
      <c r="R105" s="640">
        <f>P105/P16</f>
        <v>6.0612985961137822</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12.75" x14ac:dyDescent="0.2">
      <c r="A106" s="532"/>
      <c r="B106" s="532"/>
      <c r="C106" s="532"/>
      <c r="D106" s="532"/>
      <c r="E106" s="532"/>
      <c r="F106" s="532"/>
      <c r="G106" s="532"/>
      <c r="H106" s="532"/>
      <c r="I106" s="532"/>
      <c r="J106" s="532"/>
      <c r="K106" s="532"/>
      <c r="M106" s="6"/>
      <c r="N106" s="644"/>
      <c r="O106" s="636"/>
      <c r="P106" s="639"/>
      <c r="Q106" s="636"/>
      <c r="R106" s="640"/>
      <c r="S106" s="6"/>
      <c r="T106" s="34"/>
      <c r="U106" s="6"/>
      <c r="V106" s="6"/>
      <c r="X106" s="532"/>
      <c r="Y106" s="532"/>
      <c r="Z106" s="532"/>
      <c r="AA106" s="532"/>
      <c r="AB106" s="532"/>
      <c r="AC106" s="532"/>
      <c r="AD106" s="532"/>
      <c r="AE106" s="532"/>
      <c r="AF106" s="532"/>
      <c r="AG106" s="532"/>
      <c r="AH106" s="532"/>
      <c r="AI106" s="532"/>
      <c r="AJ106" s="532"/>
      <c r="AK106" s="532"/>
      <c r="AL106" s="532"/>
    </row>
    <row r="107" spans="1:38" ht="12.75" x14ac:dyDescent="0.2">
      <c r="A107" s="532"/>
      <c r="B107" s="532"/>
      <c r="C107" s="532"/>
      <c r="D107" s="532"/>
      <c r="E107" s="532"/>
      <c r="F107" s="532"/>
      <c r="G107" s="532"/>
      <c r="H107" s="532"/>
      <c r="I107" s="532"/>
      <c r="J107" s="532"/>
      <c r="K107" s="532"/>
      <c r="M107" s="6"/>
      <c r="N107" s="6"/>
      <c r="O107" s="6"/>
      <c r="P107" s="34"/>
      <c r="Q107" s="6"/>
      <c r="R107" s="7"/>
      <c r="S107" s="6"/>
      <c r="T107" s="34"/>
      <c r="U107" s="6"/>
      <c r="V107" s="6"/>
      <c r="X107" s="532"/>
      <c r="Y107" s="532"/>
      <c r="Z107" s="532"/>
      <c r="AA107" s="532"/>
      <c r="AB107" s="532"/>
      <c r="AC107" s="532"/>
      <c r="AD107" s="532"/>
      <c r="AE107" s="532"/>
      <c r="AF107" s="532"/>
      <c r="AG107" s="532"/>
      <c r="AH107" s="532"/>
      <c r="AI107" s="532"/>
      <c r="AJ107" s="532"/>
      <c r="AK107" s="532"/>
      <c r="AL107" s="532"/>
    </row>
    <row r="108" spans="1:38" ht="12.75" x14ac:dyDescent="0.2">
      <c r="B108" s="154"/>
      <c r="C108" s="154"/>
      <c r="D108" s="154"/>
      <c r="E108" s="154"/>
      <c r="F108" s="154"/>
      <c r="G108" s="154"/>
      <c r="H108" s="154"/>
      <c r="I108" s="154"/>
      <c r="J108" s="154"/>
      <c r="K108" s="154"/>
      <c r="M108" s="6"/>
      <c r="N108" s="19" t="s">
        <v>28</v>
      </c>
      <c r="O108" s="6"/>
      <c r="P108" s="20" t="s">
        <v>29</v>
      </c>
      <c r="Q108" s="6"/>
      <c r="R108" s="7"/>
      <c r="S108" s="6"/>
      <c r="T108" s="20" t="s">
        <v>31</v>
      </c>
      <c r="U108" s="6"/>
      <c r="V108" s="6"/>
      <c r="X108" s="532"/>
      <c r="Y108" s="532"/>
      <c r="Z108" s="532"/>
      <c r="AA108" s="532"/>
      <c r="AB108" s="532"/>
      <c r="AC108" s="532"/>
      <c r="AD108" s="532"/>
      <c r="AE108" s="532"/>
      <c r="AF108" s="532"/>
      <c r="AG108" s="532"/>
      <c r="AH108" s="532"/>
      <c r="AI108" s="532"/>
      <c r="AJ108" s="532"/>
      <c r="AK108" s="532"/>
      <c r="AL108" s="532"/>
    </row>
    <row r="109" spans="1:38" ht="12.75" x14ac:dyDescent="0.2">
      <c r="B109" s="154"/>
      <c r="C109" s="154"/>
      <c r="D109" s="154"/>
      <c r="E109" s="154"/>
      <c r="F109" s="154"/>
      <c r="G109" s="154"/>
      <c r="H109" s="154"/>
      <c r="I109" s="154"/>
      <c r="J109" s="154"/>
      <c r="K109" s="154"/>
      <c r="L109" s="154"/>
      <c r="M109" s="6"/>
      <c r="N109" s="6"/>
      <c r="O109" s="6"/>
      <c r="P109" s="21">
        <v>0.1</v>
      </c>
      <c r="Q109" s="6"/>
      <c r="R109" s="7" t="s">
        <v>30</v>
      </c>
      <c r="S109" s="6"/>
      <c r="T109" s="21">
        <v>0.1</v>
      </c>
      <c r="U109" s="6"/>
      <c r="V109" s="6"/>
      <c r="X109" s="532"/>
      <c r="Y109" s="532"/>
      <c r="Z109" s="532"/>
      <c r="AA109" s="532"/>
      <c r="AB109" s="532"/>
      <c r="AC109" s="532"/>
      <c r="AD109" s="532"/>
      <c r="AE109" s="532"/>
      <c r="AF109" s="532"/>
      <c r="AG109" s="532"/>
      <c r="AH109" s="532"/>
      <c r="AI109" s="532"/>
      <c r="AJ109" s="532"/>
      <c r="AK109" s="532"/>
      <c r="AL109" s="532"/>
    </row>
    <row r="110" spans="1:38" ht="12.75" x14ac:dyDescent="0.2">
      <c r="B110" s="154"/>
      <c r="C110" s="154"/>
      <c r="D110" s="154"/>
      <c r="E110" s="154"/>
      <c r="F110" s="154"/>
      <c r="G110" s="154"/>
      <c r="H110" s="154"/>
      <c r="I110" s="154"/>
      <c r="J110" s="154"/>
      <c r="K110" s="154"/>
      <c r="L110" s="154"/>
      <c r="M110" s="9"/>
      <c r="N110" s="6"/>
      <c r="O110" s="6"/>
      <c r="P110" s="22"/>
      <c r="Q110" s="3"/>
      <c r="R110" s="2" t="s">
        <v>32</v>
      </c>
      <c r="S110" s="3"/>
      <c r="T110" s="22"/>
      <c r="U110" s="6"/>
      <c r="V110" s="6"/>
      <c r="X110" s="532"/>
      <c r="Y110" s="532"/>
      <c r="Z110" s="532"/>
      <c r="AA110" s="532"/>
      <c r="AB110" s="532"/>
      <c r="AC110" s="532"/>
      <c r="AD110" s="532"/>
      <c r="AE110" s="532"/>
      <c r="AF110" s="532"/>
      <c r="AG110" s="532"/>
      <c r="AH110" s="532"/>
      <c r="AI110" s="532"/>
      <c r="AJ110" s="532"/>
      <c r="AK110" s="532"/>
      <c r="AL110" s="532"/>
    </row>
    <row r="111" spans="1:38" ht="12.75" x14ac:dyDescent="0.2">
      <c r="B111" s="154"/>
      <c r="C111" s="154"/>
      <c r="D111" s="154"/>
      <c r="E111" s="154"/>
      <c r="F111" s="154"/>
      <c r="G111" s="154"/>
      <c r="H111" s="154"/>
      <c r="I111" s="154"/>
      <c r="J111" s="154"/>
      <c r="K111" s="154"/>
      <c r="L111" s="154"/>
      <c r="M111" s="9"/>
      <c r="N111" s="23" t="s">
        <v>50</v>
      </c>
      <c r="O111" s="6"/>
      <c r="P111" s="83">
        <f>R111*(1-P109)</f>
        <v>70.2</v>
      </c>
      <c r="Q111" s="24"/>
      <c r="R111" s="25">
        <f>P16</f>
        <v>78</v>
      </c>
      <c r="S111" s="24"/>
      <c r="T111" s="83">
        <f>R111*(1+T109)</f>
        <v>85.800000000000011</v>
      </c>
      <c r="U111" s="6"/>
      <c r="V111" s="6"/>
      <c r="X111" s="532"/>
      <c r="Y111" s="532"/>
      <c r="Z111" s="532"/>
      <c r="AA111" s="532"/>
      <c r="AB111" s="532"/>
      <c r="AC111" s="532"/>
      <c r="AD111" s="532"/>
      <c r="AE111" s="532"/>
      <c r="AF111" s="532"/>
      <c r="AG111" s="532"/>
      <c r="AH111" s="532"/>
      <c r="AI111" s="532"/>
      <c r="AJ111" s="532"/>
      <c r="AK111" s="532"/>
      <c r="AL111" s="532"/>
    </row>
    <row r="112" spans="1:38" ht="5.25" customHeight="1" x14ac:dyDescent="0.2">
      <c r="B112" s="154"/>
      <c r="C112" s="154"/>
      <c r="D112" s="154"/>
      <c r="E112" s="154"/>
      <c r="F112" s="154"/>
      <c r="G112" s="154"/>
      <c r="H112" s="154"/>
      <c r="I112" s="154"/>
      <c r="J112" s="154"/>
      <c r="K112" s="154"/>
      <c r="L112" s="154"/>
      <c r="M112" s="9"/>
      <c r="N112" s="6"/>
      <c r="O112" s="6"/>
      <c r="P112" s="34"/>
      <c r="Q112" s="6"/>
      <c r="R112" s="7"/>
      <c r="S112" s="6"/>
      <c r="T112" s="34"/>
      <c r="U112" s="6"/>
      <c r="V112" s="6"/>
      <c r="X112" s="532"/>
      <c r="Y112" s="532"/>
      <c r="Z112" s="532"/>
      <c r="AA112" s="532"/>
      <c r="AB112" s="532"/>
      <c r="AC112" s="532"/>
      <c r="AD112" s="532"/>
      <c r="AE112" s="532"/>
      <c r="AF112" s="532"/>
      <c r="AG112" s="532"/>
      <c r="AH112" s="532"/>
      <c r="AI112" s="532"/>
      <c r="AJ112" s="532"/>
      <c r="AK112" s="532"/>
      <c r="AL112" s="532"/>
    </row>
    <row r="113" spans="2:38" ht="12.75" x14ac:dyDescent="0.2">
      <c r="B113" s="154"/>
      <c r="C113" s="154"/>
      <c r="D113" s="154"/>
      <c r="E113" s="154"/>
      <c r="F113" s="154"/>
      <c r="G113" s="154"/>
      <c r="H113" s="154"/>
      <c r="I113" s="154"/>
      <c r="J113" s="154"/>
      <c r="K113" s="154"/>
      <c r="L113" s="154"/>
      <c r="M113" s="9"/>
      <c r="N113" s="6" t="s">
        <v>51</v>
      </c>
      <c r="O113" s="6"/>
      <c r="P113" s="26">
        <f>$V$70/P$111</f>
        <v>2.298368428596866</v>
      </c>
      <c r="Q113" s="6"/>
      <c r="R113" s="26">
        <f>$V$70/R$111</f>
        <v>2.0685315857371793</v>
      </c>
      <c r="S113" s="6"/>
      <c r="T113" s="26">
        <f>$V$70/T$111</f>
        <v>1.8804832597610721</v>
      </c>
      <c r="U113" s="6"/>
      <c r="V113" s="6"/>
      <c r="X113" s="532"/>
      <c r="Y113" s="532"/>
      <c r="Z113" s="532"/>
      <c r="AA113" s="532"/>
      <c r="AB113" s="532"/>
      <c r="AC113" s="532"/>
      <c r="AD113" s="532"/>
      <c r="AE113" s="532"/>
      <c r="AF113" s="532"/>
      <c r="AG113" s="532"/>
      <c r="AH113" s="532"/>
      <c r="AI113" s="532"/>
      <c r="AJ113" s="532"/>
      <c r="AK113" s="532"/>
      <c r="AL113" s="532"/>
    </row>
    <row r="114" spans="2:38" ht="5.25" customHeight="1" x14ac:dyDescent="0.2">
      <c r="B114" s="154"/>
      <c r="C114" s="154"/>
      <c r="D114" s="154"/>
      <c r="E114" s="154"/>
      <c r="F114" s="154"/>
      <c r="G114" s="154"/>
      <c r="H114" s="154"/>
      <c r="I114" s="154"/>
      <c r="J114" s="154"/>
      <c r="K114" s="154"/>
      <c r="L114" s="154"/>
      <c r="M114" s="9"/>
      <c r="N114" s="6"/>
      <c r="O114" s="6"/>
      <c r="P114" s="34"/>
      <c r="Q114" s="6"/>
      <c r="R114" s="7"/>
      <c r="S114" s="6"/>
      <c r="T114" s="34"/>
      <c r="U114" s="6"/>
      <c r="V114" s="6"/>
      <c r="X114" s="532"/>
      <c r="Y114" s="532"/>
      <c r="Z114" s="532"/>
      <c r="AA114" s="532"/>
      <c r="AB114" s="532"/>
      <c r="AC114" s="532"/>
      <c r="AD114" s="532"/>
      <c r="AE114" s="532"/>
      <c r="AF114" s="532"/>
      <c r="AG114" s="532"/>
      <c r="AH114" s="532"/>
      <c r="AI114" s="532"/>
      <c r="AJ114" s="532"/>
      <c r="AK114" s="532"/>
      <c r="AL114" s="532"/>
    </row>
    <row r="115" spans="2:38" ht="12.75" x14ac:dyDescent="0.2">
      <c r="B115" s="154"/>
      <c r="C115" s="154"/>
      <c r="D115" s="154"/>
      <c r="E115" s="154"/>
      <c r="F115" s="154"/>
      <c r="G115" s="154"/>
      <c r="H115" s="154"/>
      <c r="I115" s="154"/>
      <c r="J115" s="154"/>
      <c r="K115" s="154"/>
      <c r="L115" s="154"/>
      <c r="M115" s="9"/>
      <c r="N115" s="6" t="s">
        <v>52</v>
      </c>
      <c r="O115" s="6"/>
      <c r="P115" s="26">
        <f>$V$88/P$111</f>
        <v>4.4364077893073368</v>
      </c>
      <c r="Q115" s="6"/>
      <c r="R115" s="26">
        <f>$V$88/R$111</f>
        <v>3.9927670103766033</v>
      </c>
      <c r="S115" s="6"/>
      <c r="T115" s="26">
        <f>$V$88/T$111</f>
        <v>3.6297881912514569</v>
      </c>
      <c r="U115" s="6"/>
      <c r="V115" s="6"/>
      <c r="X115" s="532"/>
      <c r="Y115" s="532"/>
      <c r="Z115" s="532"/>
      <c r="AA115" s="532"/>
      <c r="AB115" s="532"/>
      <c r="AC115" s="532"/>
      <c r="AD115" s="532"/>
      <c r="AE115" s="532"/>
      <c r="AF115" s="532"/>
      <c r="AG115" s="532"/>
      <c r="AH115" s="532"/>
      <c r="AI115" s="532"/>
      <c r="AJ115" s="532"/>
      <c r="AK115" s="532"/>
      <c r="AL115" s="532"/>
    </row>
    <row r="116" spans="2:38" ht="5.25" customHeight="1" x14ac:dyDescent="0.2">
      <c r="B116" s="154"/>
      <c r="C116" s="154"/>
      <c r="D116" s="154"/>
      <c r="E116" s="154"/>
      <c r="F116" s="154"/>
      <c r="G116" s="154"/>
      <c r="H116" s="154"/>
      <c r="I116" s="154"/>
      <c r="J116" s="154"/>
      <c r="K116" s="154"/>
      <c r="L116" s="154"/>
      <c r="M116" s="9"/>
      <c r="N116" s="6"/>
      <c r="O116" s="6"/>
      <c r="P116" s="34"/>
      <c r="Q116" s="6"/>
      <c r="R116" s="7"/>
      <c r="S116" s="6"/>
      <c r="T116" s="34"/>
      <c r="U116" s="6"/>
      <c r="V116" s="6"/>
      <c r="X116" s="532"/>
      <c r="Y116" s="532"/>
      <c r="Z116" s="532"/>
      <c r="AA116" s="532"/>
      <c r="AB116" s="532"/>
      <c r="AC116" s="532"/>
      <c r="AD116" s="532"/>
      <c r="AE116" s="532"/>
      <c r="AF116" s="532"/>
      <c r="AG116" s="532"/>
      <c r="AH116" s="532"/>
      <c r="AI116" s="532"/>
      <c r="AJ116" s="532"/>
      <c r="AK116" s="532"/>
      <c r="AL116" s="532"/>
    </row>
    <row r="117" spans="2:38" ht="12.75" x14ac:dyDescent="0.2">
      <c r="B117" s="154"/>
      <c r="C117" s="154"/>
      <c r="D117" s="154"/>
      <c r="E117" s="154"/>
      <c r="F117" s="154"/>
      <c r="G117" s="154"/>
      <c r="H117" s="154"/>
      <c r="I117" s="154"/>
      <c r="J117" s="154"/>
      <c r="K117" s="154"/>
      <c r="L117" s="154"/>
      <c r="M117" s="9"/>
      <c r="N117" s="6" t="s">
        <v>61</v>
      </c>
      <c r="O117" s="6"/>
      <c r="P117" s="26">
        <f>$V$90/P$111</f>
        <v>6.7347762179042023</v>
      </c>
      <c r="Q117" s="6"/>
      <c r="R117" s="26">
        <f>$V$90/R$111</f>
        <v>6.0612985961137822</v>
      </c>
      <c r="S117" s="6"/>
      <c r="T117" s="26">
        <f>$V$90/T$111</f>
        <v>5.510271451012529</v>
      </c>
      <c r="U117" s="6"/>
      <c r="V117" s="6"/>
      <c r="X117" s="532"/>
      <c r="Y117" s="642"/>
      <c r="Z117" s="532"/>
      <c r="AA117" s="532"/>
      <c r="AB117" s="532"/>
      <c r="AC117" s="532"/>
      <c r="AD117" s="532"/>
      <c r="AE117" s="532"/>
      <c r="AF117" s="532"/>
      <c r="AG117" s="532"/>
      <c r="AH117" s="532"/>
      <c r="AI117" s="532"/>
      <c r="AJ117" s="532"/>
      <c r="AK117" s="532"/>
      <c r="AL117" s="532"/>
    </row>
    <row r="118" spans="2:38" ht="12.75" x14ac:dyDescent="0.2">
      <c r="B118" s="154"/>
      <c r="C118" s="154"/>
      <c r="D118" s="154"/>
      <c r="E118" s="154"/>
      <c r="F118" s="154"/>
      <c r="G118" s="154"/>
      <c r="H118" s="154"/>
      <c r="I118" s="154"/>
      <c r="J118" s="154"/>
      <c r="K118" s="154"/>
      <c r="L118" s="154"/>
      <c r="M118" s="9"/>
      <c r="N118" s="9"/>
      <c r="O118" s="9"/>
      <c r="P118" s="58"/>
      <c r="Q118" s="9"/>
      <c r="R118" s="13"/>
      <c r="S118" s="9"/>
      <c r="T118" s="58"/>
      <c r="U118" s="9"/>
      <c r="V118" s="9"/>
      <c r="X118" s="532"/>
      <c r="Y118" s="532"/>
      <c r="Z118" s="532"/>
      <c r="AA118" s="532"/>
      <c r="AB118" s="532"/>
      <c r="AC118" s="532"/>
      <c r="AD118" s="532"/>
      <c r="AE118" s="532"/>
      <c r="AF118" s="532"/>
      <c r="AG118" s="532"/>
      <c r="AH118" s="532"/>
      <c r="AI118" s="532"/>
      <c r="AJ118" s="532"/>
      <c r="AK118" s="532"/>
      <c r="AL118" s="532"/>
    </row>
    <row r="119" spans="2:38" ht="12.75" x14ac:dyDescent="0.2">
      <c r="B119" s="154"/>
      <c r="C119" s="154"/>
      <c r="D119" s="154"/>
      <c r="E119" s="154"/>
      <c r="F119" s="154"/>
      <c r="G119" s="154"/>
      <c r="H119" s="154"/>
      <c r="I119" s="154"/>
      <c r="J119" s="154"/>
      <c r="K119" s="154"/>
      <c r="L119" s="154"/>
      <c r="M119" s="9"/>
      <c r="N119" s="9"/>
      <c r="O119" s="9"/>
      <c r="P119" s="20" t="s">
        <v>29</v>
      </c>
      <c r="Q119" s="6"/>
      <c r="R119" s="7"/>
      <c r="S119" s="6"/>
      <c r="T119" s="20" t="s">
        <v>31</v>
      </c>
      <c r="U119" s="9"/>
      <c r="V119" s="9"/>
      <c r="X119" s="532"/>
      <c r="Y119" s="532"/>
      <c r="Z119" s="532"/>
      <c r="AA119" s="532"/>
      <c r="AB119" s="532"/>
      <c r="AC119" s="532"/>
      <c r="AD119" s="532"/>
      <c r="AE119" s="532"/>
      <c r="AF119" s="532"/>
      <c r="AG119" s="532"/>
      <c r="AH119" s="532"/>
      <c r="AI119" s="532"/>
      <c r="AJ119" s="532"/>
      <c r="AK119" s="532"/>
      <c r="AL119" s="532"/>
    </row>
    <row r="120" spans="2:38" ht="12.75" x14ac:dyDescent="0.2">
      <c r="B120" s="154"/>
      <c r="C120" s="154"/>
      <c r="D120" s="154"/>
      <c r="E120" s="154"/>
      <c r="F120" s="154"/>
      <c r="G120" s="154"/>
      <c r="H120" s="154"/>
      <c r="I120" s="154"/>
      <c r="J120" s="154"/>
      <c r="K120" s="154"/>
      <c r="L120" s="154"/>
      <c r="M120" s="9"/>
      <c r="N120" s="6"/>
      <c r="O120" s="6"/>
      <c r="P120" s="21">
        <v>0.1</v>
      </c>
      <c r="Q120" s="6"/>
      <c r="R120" s="7" t="s">
        <v>30</v>
      </c>
      <c r="S120" s="6"/>
      <c r="T120" s="21">
        <v>0.1</v>
      </c>
      <c r="U120" s="6"/>
      <c r="V120" s="6"/>
      <c r="X120" s="532"/>
      <c r="Y120" s="532"/>
      <c r="Z120" s="532"/>
      <c r="AA120" s="532"/>
      <c r="AB120" s="532"/>
      <c r="AC120" s="532"/>
      <c r="AD120" s="532"/>
      <c r="AE120" s="532"/>
      <c r="AF120" s="532"/>
      <c r="AG120" s="532"/>
      <c r="AH120" s="532"/>
      <c r="AI120" s="532"/>
      <c r="AJ120" s="532"/>
      <c r="AK120" s="532"/>
      <c r="AL120" s="532"/>
    </row>
    <row r="121" spans="2:38" ht="12.75" x14ac:dyDescent="0.2">
      <c r="B121" s="154"/>
      <c r="C121" s="154"/>
      <c r="D121" s="154"/>
      <c r="E121" s="154"/>
      <c r="F121" s="154"/>
      <c r="G121" s="154"/>
      <c r="H121" s="154"/>
      <c r="I121" s="154"/>
      <c r="J121" s="154"/>
      <c r="K121" s="154"/>
      <c r="L121" s="154"/>
      <c r="M121" s="9"/>
      <c r="N121" s="6"/>
      <c r="O121" s="6"/>
      <c r="P121" s="2"/>
      <c r="Q121" s="3"/>
      <c r="R121" s="4" t="s">
        <v>50</v>
      </c>
      <c r="S121" s="3"/>
      <c r="T121" s="2"/>
      <c r="U121" s="6"/>
      <c r="V121" s="6"/>
      <c r="X121" s="532"/>
      <c r="Y121" s="532"/>
      <c r="Z121" s="532"/>
      <c r="AA121" s="532"/>
      <c r="AB121" s="532"/>
      <c r="AC121" s="532"/>
      <c r="AD121" s="532"/>
      <c r="AE121" s="532"/>
      <c r="AF121" s="532"/>
      <c r="AG121" s="532"/>
      <c r="AH121" s="532"/>
      <c r="AI121" s="532"/>
      <c r="AJ121" s="532"/>
      <c r="AK121" s="532"/>
      <c r="AL121" s="532"/>
    </row>
    <row r="122" spans="2:38" ht="12.75" x14ac:dyDescent="0.2">
      <c r="B122" s="154"/>
      <c r="C122" s="154"/>
      <c r="D122" s="154"/>
      <c r="E122" s="154"/>
      <c r="F122" s="154"/>
      <c r="G122" s="154"/>
      <c r="H122" s="154"/>
      <c r="I122" s="154"/>
      <c r="J122" s="154"/>
      <c r="K122" s="154"/>
      <c r="L122" s="154"/>
      <c r="M122" s="9"/>
      <c r="N122" s="23" t="s">
        <v>32</v>
      </c>
      <c r="O122" s="6"/>
      <c r="P122" s="27">
        <f>R122*(1-P120)</f>
        <v>5.7780000000000005</v>
      </c>
      <c r="Q122" s="24"/>
      <c r="R122" s="28">
        <f>T16</f>
        <v>6.42</v>
      </c>
      <c r="S122" s="24"/>
      <c r="T122" s="27">
        <f>R122*(1+T120)</f>
        <v>7.0620000000000003</v>
      </c>
      <c r="U122" s="6"/>
      <c r="V122" s="6"/>
      <c r="X122" s="532"/>
      <c r="Y122" s="532"/>
      <c r="Z122" s="532"/>
      <c r="AA122" s="532"/>
      <c r="AB122" s="532"/>
      <c r="AC122" s="532"/>
      <c r="AD122" s="532"/>
      <c r="AE122" s="532"/>
      <c r="AF122" s="532"/>
      <c r="AG122" s="532"/>
      <c r="AH122" s="532"/>
      <c r="AI122" s="532"/>
      <c r="AJ122" s="532"/>
      <c r="AK122" s="532"/>
      <c r="AL122" s="532"/>
    </row>
    <row r="123" spans="2:38" ht="5.25" customHeight="1" x14ac:dyDescent="0.2">
      <c r="B123" s="154"/>
      <c r="C123" s="154"/>
      <c r="D123" s="154"/>
      <c r="E123" s="154"/>
      <c r="F123" s="154"/>
      <c r="G123" s="154"/>
      <c r="H123" s="154"/>
      <c r="I123" s="154"/>
      <c r="J123" s="154"/>
      <c r="K123" s="154"/>
      <c r="L123" s="154"/>
      <c r="M123" s="9"/>
      <c r="N123" s="6"/>
      <c r="O123" s="6"/>
      <c r="P123" s="34"/>
      <c r="Q123" s="6"/>
      <c r="R123" s="7"/>
      <c r="S123" s="6"/>
      <c r="T123" s="34"/>
      <c r="U123" s="6"/>
      <c r="V123" s="6"/>
      <c r="X123" s="532"/>
      <c r="Y123" s="532"/>
      <c r="Z123" s="532"/>
      <c r="AA123" s="532"/>
      <c r="AB123" s="532"/>
      <c r="AC123" s="532"/>
      <c r="AD123" s="532"/>
      <c r="AE123" s="532"/>
      <c r="AF123" s="532"/>
      <c r="AG123" s="532"/>
      <c r="AH123" s="532"/>
      <c r="AI123" s="532"/>
      <c r="AJ123" s="532"/>
      <c r="AK123" s="532"/>
      <c r="AL123" s="532"/>
    </row>
    <row r="124" spans="2:38" ht="12.75" x14ac:dyDescent="0.2">
      <c r="B124" s="154"/>
      <c r="C124" s="154"/>
      <c r="D124" s="154"/>
      <c r="E124" s="154"/>
      <c r="F124" s="154"/>
      <c r="G124" s="154"/>
      <c r="H124" s="154"/>
      <c r="I124" s="154"/>
      <c r="J124" s="154"/>
      <c r="K124" s="154"/>
      <c r="L124" s="154"/>
      <c r="M124" s="9"/>
      <c r="N124" s="6" t="s">
        <v>51</v>
      </c>
      <c r="O124" s="6"/>
      <c r="P124" s="29">
        <f>$V$70/P$122</f>
        <v>27.924102403513324</v>
      </c>
      <c r="Q124" s="6"/>
      <c r="R124" s="29">
        <f>$V$70/R$122</f>
        <v>25.131692163161993</v>
      </c>
      <c r="S124" s="6"/>
      <c r="T124" s="29">
        <f>$V$70/T$122</f>
        <v>22.846992875601813</v>
      </c>
      <c r="U124" s="6"/>
      <c r="V124" s="6"/>
      <c r="X124" s="136"/>
      <c r="Y124" s="532"/>
      <c r="Z124" s="532"/>
      <c r="AA124" s="532"/>
      <c r="AB124" s="532"/>
      <c r="AC124" s="532"/>
      <c r="AD124" s="532"/>
      <c r="AE124" s="532"/>
      <c r="AF124" s="532"/>
      <c r="AG124" s="532"/>
      <c r="AH124" s="532"/>
      <c r="AI124" s="532"/>
      <c r="AJ124" s="532"/>
      <c r="AK124" s="532"/>
      <c r="AL124" s="532"/>
    </row>
    <row r="125" spans="2:38" ht="5.25" customHeight="1" x14ac:dyDescent="0.2">
      <c r="B125" s="154"/>
      <c r="C125" s="154"/>
      <c r="D125" s="154"/>
      <c r="E125" s="154"/>
      <c r="F125" s="154"/>
      <c r="G125" s="154"/>
      <c r="H125" s="154"/>
      <c r="I125" s="154"/>
      <c r="J125" s="154"/>
      <c r="K125" s="154"/>
      <c r="M125" s="9"/>
      <c r="N125" s="6"/>
      <c r="O125" s="6"/>
      <c r="P125" s="34"/>
      <c r="Q125" s="6"/>
      <c r="R125" s="7"/>
      <c r="S125" s="6"/>
      <c r="T125" s="34"/>
      <c r="U125" s="6"/>
      <c r="V125" s="6"/>
      <c r="X125" s="532"/>
      <c r="Y125" s="532"/>
      <c r="Z125" s="532"/>
      <c r="AA125" s="532"/>
      <c r="AB125" s="532"/>
      <c r="AC125" s="532"/>
      <c r="AD125" s="532"/>
      <c r="AE125" s="532"/>
      <c r="AF125" s="532"/>
      <c r="AG125" s="532"/>
      <c r="AH125" s="532"/>
      <c r="AI125" s="532"/>
      <c r="AJ125" s="532"/>
      <c r="AK125" s="532"/>
      <c r="AL125" s="532"/>
    </row>
    <row r="126" spans="2:38" ht="12.75" x14ac:dyDescent="0.2">
      <c r="B126" s="154"/>
      <c r="C126" s="154"/>
      <c r="D126" s="154"/>
      <c r="E126" s="154"/>
      <c r="F126" s="154"/>
      <c r="G126" s="154"/>
      <c r="H126" s="154"/>
      <c r="I126" s="154"/>
      <c r="J126" s="154"/>
      <c r="K126" s="154"/>
      <c r="M126" s="6"/>
      <c r="N126" s="6" t="s">
        <v>52</v>
      </c>
      <c r="O126" s="6"/>
      <c r="P126" s="29">
        <f>$V$88/P$122</f>
        <v>53.900281552332125</v>
      </c>
      <c r="Q126" s="6"/>
      <c r="R126" s="29">
        <f>$V$88/R$122</f>
        <v>48.510253397098914</v>
      </c>
      <c r="S126" s="6"/>
      <c r="T126" s="29">
        <f>$V$88/T$122</f>
        <v>44.100230360999014</v>
      </c>
      <c r="U126" s="6"/>
      <c r="V126" s="6"/>
      <c r="X126" s="532"/>
      <c r="Y126" s="532"/>
      <c r="Z126" s="532"/>
      <c r="AA126" s="532"/>
      <c r="AB126" s="532"/>
      <c r="AC126" s="532"/>
      <c r="AD126" s="532"/>
      <c r="AE126" s="532"/>
      <c r="AF126" s="532"/>
      <c r="AG126" s="532"/>
      <c r="AH126" s="532"/>
      <c r="AI126" s="532"/>
      <c r="AJ126" s="532"/>
      <c r="AK126" s="532"/>
      <c r="AL126" s="532"/>
    </row>
    <row r="127" spans="2:38" ht="5.25" customHeight="1" x14ac:dyDescent="0.2">
      <c r="B127" s="154"/>
      <c r="C127" s="154"/>
      <c r="D127" s="154"/>
      <c r="E127" s="154"/>
      <c r="F127" s="154"/>
      <c r="G127" s="154"/>
      <c r="H127" s="154"/>
      <c r="I127" s="154"/>
      <c r="J127" s="154"/>
      <c r="K127" s="154"/>
      <c r="M127" s="6"/>
      <c r="N127" s="6"/>
      <c r="O127" s="6"/>
      <c r="P127" s="34"/>
      <c r="Q127" s="6"/>
      <c r="R127" s="7"/>
      <c r="S127" s="6"/>
      <c r="T127" s="34"/>
      <c r="U127" s="6"/>
      <c r="V127" s="6"/>
      <c r="X127" s="532"/>
      <c r="Y127" s="532"/>
      <c r="Z127" s="532"/>
      <c r="AA127" s="532"/>
      <c r="AB127" s="532"/>
      <c r="AC127" s="532"/>
      <c r="AD127" s="532"/>
      <c r="AE127" s="532"/>
      <c r="AF127" s="532"/>
      <c r="AG127" s="532"/>
      <c r="AH127" s="532"/>
      <c r="AI127" s="532"/>
      <c r="AJ127" s="532"/>
      <c r="AK127" s="532"/>
      <c r="AL127" s="532"/>
    </row>
    <row r="128" spans="2:38" ht="15" x14ac:dyDescent="0.2">
      <c r="B128" s="154"/>
      <c r="C128" s="154"/>
      <c r="D128" s="154"/>
      <c r="E128" s="154"/>
      <c r="F128" s="154"/>
      <c r="G128" s="154"/>
      <c r="H128" s="154"/>
      <c r="I128" s="154"/>
      <c r="J128" s="154"/>
      <c r="K128" s="154"/>
      <c r="L128" s="92"/>
      <c r="M128" s="6"/>
      <c r="N128" s="6" t="s">
        <v>61</v>
      </c>
      <c r="O128" s="6"/>
      <c r="P128" s="29">
        <f>$V$90/P$122</f>
        <v>81.824383955845448</v>
      </c>
      <c r="Q128" s="6"/>
      <c r="R128" s="29">
        <f>$V$90/R$122</f>
        <v>73.641945560260908</v>
      </c>
      <c r="S128" s="6"/>
      <c r="T128" s="29">
        <f>$V$90/T$122</f>
        <v>66.94722323660082</v>
      </c>
      <c r="U128" s="6"/>
      <c r="V128" s="6"/>
      <c r="X128" s="136"/>
      <c r="Y128" s="136"/>
      <c r="Z128" s="532"/>
      <c r="AA128" s="532"/>
      <c r="AB128" s="532"/>
      <c r="AC128" s="532"/>
      <c r="AD128" s="532"/>
      <c r="AE128" s="532"/>
      <c r="AF128" s="532"/>
      <c r="AG128" s="532"/>
      <c r="AH128" s="532"/>
      <c r="AI128" s="532"/>
      <c r="AJ128" s="532"/>
      <c r="AK128" s="532"/>
      <c r="AL128" s="532"/>
    </row>
    <row r="129" spans="12:38" ht="14.25" x14ac:dyDescent="0.2">
      <c r="L129" s="184"/>
      <c r="M129" s="532"/>
      <c r="N129" s="532"/>
      <c r="O129" s="532"/>
      <c r="P129" s="90"/>
      <c r="Q129" s="532"/>
      <c r="R129" s="219"/>
      <c r="S129" s="532"/>
      <c r="T129" s="90"/>
      <c r="U129" s="532"/>
      <c r="V129" s="532"/>
      <c r="X129" s="532"/>
      <c r="Y129" s="532"/>
      <c r="Z129" s="532"/>
      <c r="AA129" s="532"/>
      <c r="AB129" s="532"/>
      <c r="AC129" s="532"/>
      <c r="AD129" s="532"/>
      <c r="AE129" s="532"/>
      <c r="AF129" s="532"/>
      <c r="AG129" s="532"/>
      <c r="AH129" s="532"/>
      <c r="AI129" s="532"/>
      <c r="AJ129" s="532"/>
      <c r="AK129" s="532"/>
      <c r="AL129" s="532"/>
    </row>
    <row r="130" spans="12:38" ht="12.95" customHeight="1" x14ac:dyDescent="0.2">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2:38" ht="12.95" customHeight="1" x14ac:dyDescent="0.2">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2:38" ht="12.95" customHeight="1" x14ac:dyDescent="0.2">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2:38" ht="12.95" customHeight="1" x14ac:dyDescent="0.2">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2:38" ht="12.95" customHeight="1" x14ac:dyDescent="0.2">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2:38" ht="12.95" customHeight="1" x14ac:dyDescent="0.2">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2:38" ht="12.95" customHeight="1" x14ac:dyDescent="0.2">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2:38" ht="12.95" customHeight="1" x14ac:dyDescent="0.2">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2:38" ht="12.95" customHeight="1" x14ac:dyDescent="0.2">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2:38" ht="12.95" customHeight="1" x14ac:dyDescent="0.2">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2:38" ht="12.95" customHeight="1" x14ac:dyDescent="0.2">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2:38" ht="12.95" customHeight="1" x14ac:dyDescent="0.2">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2:38" ht="12.95" customHeight="1" x14ac:dyDescent="0.2">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2:38" ht="12.95" customHeight="1" x14ac:dyDescent="0.2">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2:38" ht="12.95" customHeight="1" x14ac:dyDescent="0.2">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2.95" customHeight="1" x14ac:dyDescent="0.2">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2.95" customHeight="1" x14ac:dyDescent="0.2">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2.95" customHeight="1" x14ac:dyDescent="0.2">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2.95" customHeight="1" x14ac:dyDescent="0.2">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2.95" customHeight="1" x14ac:dyDescent="0.2">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2.95" customHeight="1" x14ac:dyDescent="0.2">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2.95" customHeight="1" x14ac:dyDescent="0.2">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2.95" customHeight="1" x14ac:dyDescent="0.2">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2.95" customHeight="1" x14ac:dyDescent="0.2">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2.95" customHeight="1" x14ac:dyDescent="0.2">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2.95" customHeight="1" x14ac:dyDescent="0.2">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2.95" customHeight="1" x14ac:dyDescent="0.2">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2.95" customHeight="1" x14ac:dyDescent="0.2">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2.95" customHeight="1" x14ac:dyDescent="0.2">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2.95" customHeight="1" x14ac:dyDescent="0.2">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2.95" customHeight="1" x14ac:dyDescent="0.2">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2.95" customHeight="1" x14ac:dyDescent="0.2">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2.95" customHeight="1" x14ac:dyDescent="0.2">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2.95" customHeight="1" x14ac:dyDescent="0.2">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2.95" customHeight="1" x14ac:dyDescent="0.2">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2.95" customHeight="1" x14ac:dyDescent="0.2">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2.95" customHeight="1" x14ac:dyDescent="0.2">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2.95" customHeight="1" x14ac:dyDescent="0.2">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2.95" customHeight="1" x14ac:dyDescent="0.2">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2.95" customHeight="1" x14ac:dyDescent="0.2">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2.95" customHeight="1" x14ac:dyDescent="0.2">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2.95" customHeight="1" x14ac:dyDescent="0.2">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2.95" customHeight="1" x14ac:dyDescent="0.2">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2.95" customHeight="1" x14ac:dyDescent="0.2">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2.95" customHeight="1" x14ac:dyDescent="0.2">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2.95" customHeight="1" x14ac:dyDescent="0.2">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2.95" customHeight="1" x14ac:dyDescent="0.2">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2.95" customHeight="1" x14ac:dyDescent="0.2">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2.95" customHeight="1" x14ac:dyDescent="0.2">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2.95" customHeight="1" x14ac:dyDescent="0.2">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2.95" customHeight="1" x14ac:dyDescent="0.2">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2.95" customHeight="1" x14ac:dyDescent="0.2">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2.95" customHeight="1" x14ac:dyDescent="0.2">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2.95" customHeight="1" x14ac:dyDescent="0.2">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2.95" customHeight="1" x14ac:dyDescent="0.2">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2.95" customHeight="1" x14ac:dyDescent="0.2">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2.95" customHeight="1" x14ac:dyDescent="0.2">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2.95" customHeight="1" x14ac:dyDescent="0.2">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2.95" customHeight="1" x14ac:dyDescent="0.2">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2.95" customHeight="1" x14ac:dyDescent="0.2">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2.95" customHeight="1" x14ac:dyDescent="0.2">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2.95" customHeight="1" x14ac:dyDescent="0.2">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2.95" customHeight="1" x14ac:dyDescent="0.2">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2.95" customHeight="1" x14ac:dyDescent="0.2">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2.95" customHeight="1" x14ac:dyDescent="0.2">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2.95" customHeight="1" x14ac:dyDescent="0.2">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2.95" customHeight="1" x14ac:dyDescent="0.2">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2.95" customHeight="1" x14ac:dyDescent="0.2">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2.95" customHeight="1" x14ac:dyDescent="0.2">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2.95" customHeight="1" x14ac:dyDescent="0.2">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2.95" customHeight="1" x14ac:dyDescent="0.2">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2.95" customHeight="1" x14ac:dyDescent="0.2">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2.95" customHeight="1" x14ac:dyDescent="0.2">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2.95" customHeight="1" x14ac:dyDescent="0.2">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2.95" customHeight="1" x14ac:dyDescent="0.2">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2.95" customHeight="1" x14ac:dyDescent="0.2">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2.95" customHeight="1" x14ac:dyDescent="0.2">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2.95" customHeight="1" x14ac:dyDescent="0.2">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2.95" customHeight="1" x14ac:dyDescent="0.2">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2.95" customHeight="1" x14ac:dyDescent="0.2">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2.95" customHeight="1" x14ac:dyDescent="0.2">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2.95" customHeight="1" x14ac:dyDescent="0.2">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2.95" customHeight="1" x14ac:dyDescent="0.2">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2.95" customHeight="1" x14ac:dyDescent="0.2">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2.95" customHeight="1" x14ac:dyDescent="0.2">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2.95" customHeight="1" x14ac:dyDescent="0.2">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2.95" customHeight="1" x14ac:dyDescent="0.2">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2.95" customHeight="1" x14ac:dyDescent="0.2">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2.95" customHeight="1" x14ac:dyDescent="0.2">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2.95" customHeight="1" x14ac:dyDescent="0.2">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2.95" customHeight="1" x14ac:dyDescent="0.2">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2.95" customHeight="1" x14ac:dyDescent="0.2">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2.95" customHeight="1" x14ac:dyDescent="0.2">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2.95" customHeight="1" x14ac:dyDescent="0.2">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2.95" customHeight="1" x14ac:dyDescent="0.2">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2.95" customHeight="1" x14ac:dyDescent="0.2">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2.95" customHeight="1" x14ac:dyDescent="0.2">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2.95" customHeight="1" x14ac:dyDescent="0.2">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2.95" customHeight="1" x14ac:dyDescent="0.2">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2.95" customHeight="1" x14ac:dyDescent="0.2">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2.95" customHeight="1" x14ac:dyDescent="0.2">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2.95" customHeight="1" x14ac:dyDescent="0.2">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2.95" customHeight="1" x14ac:dyDescent="0.2">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2.95" customHeight="1" x14ac:dyDescent="0.2">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2.95" customHeight="1" x14ac:dyDescent="0.2">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2.95" customHeight="1" x14ac:dyDescent="0.2">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2.95" customHeight="1" x14ac:dyDescent="0.2">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2.95" customHeight="1" x14ac:dyDescent="0.2">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2.95" customHeight="1" x14ac:dyDescent="0.2">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2.95" customHeight="1" x14ac:dyDescent="0.2">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2.95" customHeight="1" x14ac:dyDescent="0.2">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2.95" customHeight="1" x14ac:dyDescent="0.2">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2.95" customHeight="1" x14ac:dyDescent="0.2">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2.95" customHeight="1" x14ac:dyDescent="0.2">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2.95" customHeight="1" x14ac:dyDescent="0.2">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2.95" customHeight="1" x14ac:dyDescent="0.2">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2.95" customHeight="1" x14ac:dyDescent="0.2">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2.95" customHeight="1" x14ac:dyDescent="0.2">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2.95" customHeight="1" x14ac:dyDescent="0.2">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2.95" customHeight="1" x14ac:dyDescent="0.2">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2.95" customHeight="1" x14ac:dyDescent="0.2">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2.95" customHeight="1" x14ac:dyDescent="0.2">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2.95" customHeight="1" x14ac:dyDescent="0.2">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2.95" customHeight="1" x14ac:dyDescent="0.2">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2.95" customHeight="1" x14ac:dyDescent="0.2">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2.95" customHeight="1" x14ac:dyDescent="0.2">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2.95" customHeight="1" x14ac:dyDescent="0.2">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2.95" customHeight="1" x14ac:dyDescent="0.2">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2.95" customHeight="1" x14ac:dyDescent="0.2">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2.95" customHeight="1" x14ac:dyDescent="0.2">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2.95" customHeight="1" x14ac:dyDescent="0.2">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2.95" customHeight="1" x14ac:dyDescent="0.2">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2.95" customHeight="1" x14ac:dyDescent="0.2">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2.95" customHeight="1" x14ac:dyDescent="0.2">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2.95" customHeight="1" x14ac:dyDescent="0.2">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2.95" customHeight="1" x14ac:dyDescent="0.2">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2.95" customHeight="1" x14ac:dyDescent="0.2">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2.95" customHeight="1" x14ac:dyDescent="0.2">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2.95" customHeight="1" x14ac:dyDescent="0.2">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2.95" customHeight="1" x14ac:dyDescent="0.2">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2.95" customHeight="1" x14ac:dyDescent="0.2">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2.95" customHeight="1" x14ac:dyDescent="0.2">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2.95" customHeight="1" x14ac:dyDescent="0.2">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2.95" customHeight="1" x14ac:dyDescent="0.2">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2.95" customHeight="1" x14ac:dyDescent="0.2">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2.95" customHeight="1" x14ac:dyDescent="0.2">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2.95" customHeight="1" x14ac:dyDescent="0.2">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2.95" customHeight="1" x14ac:dyDescent="0.2">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2.95" customHeight="1" x14ac:dyDescent="0.2">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2.95" customHeight="1" x14ac:dyDescent="0.2">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2.95" customHeight="1" x14ac:dyDescent="0.2">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2.95" customHeight="1" x14ac:dyDescent="0.2">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2.95" customHeight="1" x14ac:dyDescent="0.2">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2.95" customHeight="1" x14ac:dyDescent="0.2">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2.95" customHeight="1" x14ac:dyDescent="0.2">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2.95" customHeight="1" x14ac:dyDescent="0.2">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2.95" customHeight="1" x14ac:dyDescent="0.2">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2.95" customHeight="1" x14ac:dyDescent="0.2">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2.95" customHeight="1" x14ac:dyDescent="0.2">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2.95" customHeight="1" x14ac:dyDescent="0.2">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2.95" customHeight="1" x14ac:dyDescent="0.2">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2.95" customHeight="1" x14ac:dyDescent="0.2">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2.95" customHeight="1" x14ac:dyDescent="0.2">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2.95" customHeight="1" x14ac:dyDescent="0.2">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2.95" customHeight="1" x14ac:dyDescent="0.2">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2.95" customHeight="1" x14ac:dyDescent="0.2">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2.95" customHeight="1" x14ac:dyDescent="0.2">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2.95" customHeight="1" x14ac:dyDescent="0.2">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2.95" customHeight="1" x14ac:dyDescent="0.2">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2.95" customHeight="1" x14ac:dyDescent="0.2">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2.95" customHeight="1" x14ac:dyDescent="0.2">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2.95" customHeight="1" x14ac:dyDescent="0.2">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2.95" customHeight="1" x14ac:dyDescent="0.2">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2.95" customHeight="1" x14ac:dyDescent="0.2">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2.95" customHeight="1" x14ac:dyDescent="0.2">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2.95" customHeight="1" x14ac:dyDescent="0.2">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2.95" customHeight="1" x14ac:dyDescent="0.2">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2.95" customHeight="1" x14ac:dyDescent="0.2">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2.95" customHeight="1" x14ac:dyDescent="0.2">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2.95" customHeight="1" x14ac:dyDescent="0.2">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2.95" customHeight="1" x14ac:dyDescent="0.2">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2.95" customHeight="1" x14ac:dyDescent="0.2">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2.95" customHeight="1" x14ac:dyDescent="0.2">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2.95" customHeight="1" x14ac:dyDescent="0.2">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2.95" customHeight="1" x14ac:dyDescent="0.2">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2.95" customHeight="1" x14ac:dyDescent="0.2">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2.95" customHeight="1" x14ac:dyDescent="0.2">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2.95" customHeight="1" x14ac:dyDescent="0.2">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2.95" customHeight="1" x14ac:dyDescent="0.2">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2.95" customHeight="1" x14ac:dyDescent="0.2">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2.95" customHeight="1" x14ac:dyDescent="0.2">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2.95" customHeight="1" x14ac:dyDescent="0.2">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2.95" customHeight="1" x14ac:dyDescent="0.2">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2.95" customHeight="1" x14ac:dyDescent="0.2">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2.95" customHeight="1" x14ac:dyDescent="0.2">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2.95" customHeight="1" x14ac:dyDescent="0.2">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2.95" customHeight="1" x14ac:dyDescent="0.2">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2.95" customHeight="1" x14ac:dyDescent="0.2">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2.95" customHeight="1" x14ac:dyDescent="0.2">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2.95" customHeight="1" x14ac:dyDescent="0.2">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2.95" customHeight="1" x14ac:dyDescent="0.2">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2.95" customHeight="1" x14ac:dyDescent="0.2">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2.95" customHeight="1" x14ac:dyDescent="0.2">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2.95" customHeight="1" x14ac:dyDescent="0.2">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2.95" customHeight="1" x14ac:dyDescent="0.2">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2.95" customHeight="1" x14ac:dyDescent="0.2">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2.95" customHeight="1" x14ac:dyDescent="0.2">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2.95" customHeight="1" x14ac:dyDescent="0.2">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2.95" customHeight="1" x14ac:dyDescent="0.2">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2.95" customHeight="1" x14ac:dyDescent="0.2">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2.95" customHeight="1" x14ac:dyDescent="0.2">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2.95" customHeight="1" x14ac:dyDescent="0.2">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2.95" customHeight="1" x14ac:dyDescent="0.2">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2.95" customHeight="1" x14ac:dyDescent="0.2">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2.95" customHeight="1" x14ac:dyDescent="0.2">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2.95" customHeight="1" x14ac:dyDescent="0.2">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2.95" customHeight="1" x14ac:dyDescent="0.2">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2.95" customHeight="1" x14ac:dyDescent="0.2">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2.95" customHeight="1" x14ac:dyDescent="0.2">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2.95" customHeight="1" x14ac:dyDescent="0.2">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2.95" customHeight="1" x14ac:dyDescent="0.2">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2.95" customHeight="1" x14ac:dyDescent="0.2">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2.95" customHeight="1" x14ac:dyDescent="0.2">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2.95" customHeight="1" x14ac:dyDescent="0.2">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2.95" customHeight="1" x14ac:dyDescent="0.2">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2.95" customHeight="1" x14ac:dyDescent="0.2">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2.95" customHeight="1" x14ac:dyDescent="0.2">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2.95" customHeight="1" x14ac:dyDescent="0.2">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2.95" customHeight="1" x14ac:dyDescent="0.2">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2.95" customHeight="1" x14ac:dyDescent="0.2">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2.95" customHeight="1" x14ac:dyDescent="0.2">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2.95" customHeight="1" x14ac:dyDescent="0.2">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2.95" customHeight="1" x14ac:dyDescent="0.2">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2.95" customHeight="1" x14ac:dyDescent="0.2">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2.95" customHeight="1" x14ac:dyDescent="0.2">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2.95" customHeight="1" x14ac:dyDescent="0.2">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2.95" customHeight="1" x14ac:dyDescent="0.2">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2.95" customHeight="1" x14ac:dyDescent="0.2">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2.95" customHeight="1" x14ac:dyDescent="0.2">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2.95" customHeight="1" x14ac:dyDescent="0.2">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2.95" customHeight="1" x14ac:dyDescent="0.2">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2.95" customHeight="1" x14ac:dyDescent="0.2">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2.95" customHeight="1" x14ac:dyDescent="0.2">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2.95" customHeight="1" x14ac:dyDescent="0.2">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2.95" customHeight="1" x14ac:dyDescent="0.2">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2.95" customHeight="1" x14ac:dyDescent="0.2">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2.95" customHeight="1" x14ac:dyDescent="0.2">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2.95" customHeight="1" x14ac:dyDescent="0.2">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2.95" customHeight="1" x14ac:dyDescent="0.2">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2.95" customHeight="1" x14ac:dyDescent="0.2">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2.95" customHeight="1" x14ac:dyDescent="0.2">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2.95" customHeight="1" x14ac:dyDescent="0.2">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2.95" customHeight="1" x14ac:dyDescent="0.2">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2.95" customHeight="1" x14ac:dyDescent="0.2">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2.95" customHeight="1" x14ac:dyDescent="0.2">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2.95" customHeight="1" x14ac:dyDescent="0.2">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2.95" customHeight="1" x14ac:dyDescent="0.2">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2.95" customHeight="1" x14ac:dyDescent="0.2">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2.95" customHeight="1" x14ac:dyDescent="0.2">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2.95" customHeight="1" x14ac:dyDescent="0.2">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2.95" customHeight="1" x14ac:dyDescent="0.2">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2.95" customHeight="1" x14ac:dyDescent="0.2">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2.95" customHeight="1" x14ac:dyDescent="0.2">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2.95" customHeight="1" x14ac:dyDescent="0.2">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2.95" customHeight="1" x14ac:dyDescent="0.2">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2.95" customHeight="1" x14ac:dyDescent="0.2">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2.95" customHeight="1" x14ac:dyDescent="0.2">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2.95" customHeight="1" x14ac:dyDescent="0.2">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2.95" customHeight="1" x14ac:dyDescent="0.2">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2.95" customHeight="1" x14ac:dyDescent="0.2">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2.95" customHeight="1" x14ac:dyDescent="0.2">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2.95" customHeight="1" x14ac:dyDescent="0.2">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2.95" customHeight="1" x14ac:dyDescent="0.2">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2.95" customHeight="1" x14ac:dyDescent="0.2">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2.95" customHeight="1" x14ac:dyDescent="0.2">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2.95" customHeight="1" x14ac:dyDescent="0.2">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2.95" customHeight="1" x14ac:dyDescent="0.2">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2.95" customHeight="1" x14ac:dyDescent="0.2">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2.95" customHeight="1" x14ac:dyDescent="0.2">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2.95" customHeight="1" x14ac:dyDescent="0.2">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2.95" customHeight="1" x14ac:dyDescent="0.2">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2.95" customHeight="1" x14ac:dyDescent="0.2">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2.95" customHeight="1" x14ac:dyDescent="0.2">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2.95" customHeight="1" x14ac:dyDescent="0.2">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2.95" customHeight="1" x14ac:dyDescent="0.2">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2.95" customHeight="1" x14ac:dyDescent="0.2">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2.95" customHeight="1" x14ac:dyDescent="0.2">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2.95" customHeight="1" x14ac:dyDescent="0.2">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2.95" customHeight="1" x14ac:dyDescent="0.2">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2.95" customHeight="1" x14ac:dyDescent="0.2">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2.95" customHeight="1" x14ac:dyDescent="0.2">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2.95" customHeight="1" x14ac:dyDescent="0.2">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2.95" customHeight="1" x14ac:dyDescent="0.2">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2.95" customHeight="1" x14ac:dyDescent="0.2">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2.95" customHeight="1" x14ac:dyDescent="0.2">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2.95" customHeight="1" x14ac:dyDescent="0.2">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2.95" customHeight="1" x14ac:dyDescent="0.2">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2.95" customHeight="1" x14ac:dyDescent="0.2">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2.95" customHeight="1" x14ac:dyDescent="0.2">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2.95" customHeight="1" x14ac:dyDescent="0.2">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2.95" customHeight="1" x14ac:dyDescent="0.2">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2.95" customHeight="1" x14ac:dyDescent="0.2">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2.95" customHeight="1" x14ac:dyDescent="0.2">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2.95" customHeight="1" x14ac:dyDescent="0.2">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2.95" customHeight="1" x14ac:dyDescent="0.2">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2.95" customHeight="1" x14ac:dyDescent="0.2">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2.95" customHeight="1" x14ac:dyDescent="0.2">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2.95" customHeight="1" x14ac:dyDescent="0.2">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2.95" customHeight="1" x14ac:dyDescent="0.2">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2.95" customHeight="1" x14ac:dyDescent="0.2">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2.95" customHeight="1" x14ac:dyDescent="0.2">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2.95" customHeight="1" x14ac:dyDescent="0.2">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2.95" customHeight="1" x14ac:dyDescent="0.2">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2.95" customHeight="1" x14ac:dyDescent="0.2">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2.95" customHeight="1" x14ac:dyDescent="0.2">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2.95" customHeight="1" x14ac:dyDescent="0.2">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2.95" customHeight="1" x14ac:dyDescent="0.2">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2.95" customHeight="1" x14ac:dyDescent="0.2">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2.95" customHeight="1" x14ac:dyDescent="0.2">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2.95" customHeight="1" x14ac:dyDescent="0.2">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2.95" customHeight="1" x14ac:dyDescent="0.2">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2.95" customHeight="1" x14ac:dyDescent="0.2">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2.95" customHeight="1" x14ac:dyDescent="0.2">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2.95" customHeight="1" x14ac:dyDescent="0.2">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2.95" customHeight="1" x14ac:dyDescent="0.2">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2.95" customHeight="1" x14ac:dyDescent="0.2">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2.95" customHeight="1" x14ac:dyDescent="0.2">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2.95" customHeight="1" x14ac:dyDescent="0.2">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2.95" customHeight="1" x14ac:dyDescent="0.2">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2.95" customHeight="1" x14ac:dyDescent="0.2">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2.95" customHeight="1" x14ac:dyDescent="0.2">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2.95" customHeight="1" x14ac:dyDescent="0.2">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2.95" customHeight="1" x14ac:dyDescent="0.2">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2.95" customHeight="1" x14ac:dyDescent="0.2">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2.95" customHeight="1" x14ac:dyDescent="0.2">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2.95" customHeight="1" x14ac:dyDescent="0.2">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2.95" customHeight="1" x14ac:dyDescent="0.2">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2.95" customHeight="1" x14ac:dyDescent="0.2">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2.95" customHeight="1" x14ac:dyDescent="0.2">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2.95" customHeight="1" x14ac:dyDescent="0.2">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2.95" customHeight="1" x14ac:dyDescent="0.2">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2.95" customHeight="1" x14ac:dyDescent="0.2">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2.95" customHeight="1" x14ac:dyDescent="0.2">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2.95" customHeight="1" x14ac:dyDescent="0.2">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2.95" customHeight="1" x14ac:dyDescent="0.2">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2.95" customHeight="1" x14ac:dyDescent="0.2">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2.95" customHeight="1" x14ac:dyDescent="0.2">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2.95" customHeight="1" x14ac:dyDescent="0.2">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2.95" customHeight="1" x14ac:dyDescent="0.2">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2.95" customHeight="1" x14ac:dyDescent="0.2">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2.95" customHeight="1" x14ac:dyDescent="0.2">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2.95" customHeight="1" x14ac:dyDescent="0.2">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2.95" customHeight="1" x14ac:dyDescent="0.2">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2.95" customHeight="1" x14ac:dyDescent="0.2">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2.95" customHeight="1" x14ac:dyDescent="0.2">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2.95" customHeight="1" x14ac:dyDescent="0.2">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2.95" customHeight="1" x14ac:dyDescent="0.2">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2.95" customHeight="1" x14ac:dyDescent="0.2">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2.95" customHeight="1" x14ac:dyDescent="0.2">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2.95" customHeight="1" x14ac:dyDescent="0.2">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2.95" customHeight="1" x14ac:dyDescent="0.2">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2.95" customHeight="1" x14ac:dyDescent="0.2">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2.95" customHeight="1" x14ac:dyDescent="0.2">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2.95" customHeight="1" x14ac:dyDescent="0.2">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2.95" customHeight="1" x14ac:dyDescent="0.2">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2.95" customHeight="1" x14ac:dyDescent="0.2">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2.95" customHeight="1" x14ac:dyDescent="0.2">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2.95" customHeight="1" x14ac:dyDescent="0.2">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2.95" customHeight="1" x14ac:dyDescent="0.2">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2.95" customHeight="1" x14ac:dyDescent="0.2">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2.95" customHeight="1" x14ac:dyDescent="0.2">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2.95" customHeight="1" x14ac:dyDescent="0.2">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2.95" customHeight="1" x14ac:dyDescent="0.2">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2.95" customHeight="1" x14ac:dyDescent="0.2">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2.95" customHeight="1" x14ac:dyDescent="0.2">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2.95" customHeight="1" x14ac:dyDescent="0.2">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2.95" customHeight="1" x14ac:dyDescent="0.2">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2.95" customHeight="1" x14ac:dyDescent="0.2">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2.95" customHeight="1" x14ac:dyDescent="0.2">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2.95" customHeight="1" x14ac:dyDescent="0.2">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2.95" customHeight="1" x14ac:dyDescent="0.2">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2.95" customHeight="1" x14ac:dyDescent="0.2">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2.95" customHeight="1" x14ac:dyDescent="0.2">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2.95" customHeight="1" x14ac:dyDescent="0.2">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2.95" customHeight="1" x14ac:dyDescent="0.2">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2.95" customHeight="1" x14ac:dyDescent="0.2">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2.95" customHeight="1" x14ac:dyDescent="0.2">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2.95" customHeight="1" x14ac:dyDescent="0.2">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2.95" customHeight="1" x14ac:dyDescent="0.2">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2.95" customHeight="1" x14ac:dyDescent="0.2">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2.95" customHeight="1" x14ac:dyDescent="0.2">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2.95" customHeight="1" x14ac:dyDescent="0.2">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2.95" customHeight="1" x14ac:dyDescent="0.2">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2.95" customHeight="1" x14ac:dyDescent="0.2">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2.95" customHeight="1" x14ac:dyDescent="0.2">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2.95" customHeight="1" x14ac:dyDescent="0.2">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2.95" customHeight="1" x14ac:dyDescent="0.2">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2.95" customHeight="1" x14ac:dyDescent="0.2">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2.95" customHeight="1" x14ac:dyDescent="0.2">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2.95" customHeight="1" x14ac:dyDescent="0.2">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2.95" customHeight="1" x14ac:dyDescent="0.2">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2.95" customHeight="1" x14ac:dyDescent="0.2">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2.95" customHeight="1" x14ac:dyDescent="0.2">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2.95" customHeight="1" x14ac:dyDescent="0.2">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2.95" customHeight="1" x14ac:dyDescent="0.2">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2.95" customHeight="1" x14ac:dyDescent="0.2">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2.95" customHeight="1" x14ac:dyDescent="0.2">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2.95" customHeight="1" x14ac:dyDescent="0.2">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2.95" customHeight="1" x14ac:dyDescent="0.2">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2.95" customHeight="1" x14ac:dyDescent="0.2">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2.95" customHeight="1" x14ac:dyDescent="0.2">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2.95" customHeight="1" x14ac:dyDescent="0.2">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2.95" customHeight="1" x14ac:dyDescent="0.2">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2.95" customHeight="1" x14ac:dyDescent="0.2">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2.95" customHeight="1" x14ac:dyDescent="0.2">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2.95" customHeight="1" x14ac:dyDescent="0.2">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2.95" customHeight="1" x14ac:dyDescent="0.2">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2.95" customHeight="1" x14ac:dyDescent="0.2">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2.95" customHeight="1" x14ac:dyDescent="0.2">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2.95" customHeight="1" x14ac:dyDescent="0.2">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2.95" customHeight="1" x14ac:dyDescent="0.2">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2.95" customHeight="1" x14ac:dyDescent="0.2">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2.95" customHeight="1" x14ac:dyDescent="0.2">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2.95" customHeight="1" x14ac:dyDescent="0.2">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2.95" customHeight="1" x14ac:dyDescent="0.2">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2.95" customHeight="1" x14ac:dyDescent="0.2">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2.95" customHeight="1" x14ac:dyDescent="0.2">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2.95" customHeight="1" x14ac:dyDescent="0.2">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2.95" customHeight="1" x14ac:dyDescent="0.2">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2.95" customHeight="1" x14ac:dyDescent="0.2">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2.95" customHeight="1" x14ac:dyDescent="0.2">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2.95" customHeight="1" x14ac:dyDescent="0.2">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2.95" customHeight="1" x14ac:dyDescent="0.2">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2.95" customHeight="1" x14ac:dyDescent="0.2">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2.95" customHeight="1" x14ac:dyDescent="0.2">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2.95" customHeight="1" x14ac:dyDescent="0.2">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2.95" customHeight="1" x14ac:dyDescent="0.2">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2.95" customHeight="1" x14ac:dyDescent="0.2">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2.95" customHeight="1" x14ac:dyDescent="0.2">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2.95" customHeight="1" x14ac:dyDescent="0.2">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2.95" customHeight="1" x14ac:dyDescent="0.2">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2.95" customHeight="1" x14ac:dyDescent="0.2">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2.95" customHeight="1" x14ac:dyDescent="0.2">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2.95" customHeight="1" x14ac:dyDescent="0.2">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2.95" customHeight="1" x14ac:dyDescent="0.2">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2.95" customHeight="1" x14ac:dyDescent="0.2">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2.95" customHeight="1" x14ac:dyDescent="0.2">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2.95" customHeight="1" x14ac:dyDescent="0.2">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2.95" customHeight="1" x14ac:dyDescent="0.2">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2.95" customHeight="1" x14ac:dyDescent="0.2">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2.95" customHeight="1" x14ac:dyDescent="0.2">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2.95" customHeight="1" x14ac:dyDescent="0.2">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2.95" customHeight="1" x14ac:dyDescent="0.2">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2.95" customHeight="1" x14ac:dyDescent="0.2">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2.95" customHeight="1" x14ac:dyDescent="0.2">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2.95" customHeight="1" x14ac:dyDescent="0.2">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2.95" customHeight="1" x14ac:dyDescent="0.2">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2.95" customHeight="1" x14ac:dyDescent="0.2">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2.95" customHeight="1" x14ac:dyDescent="0.2">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2.95" customHeight="1" x14ac:dyDescent="0.2">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2.95" customHeight="1" x14ac:dyDescent="0.2">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2.95" customHeight="1" x14ac:dyDescent="0.2">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2.95" customHeight="1" x14ac:dyDescent="0.2">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2.95" customHeight="1" x14ac:dyDescent="0.2">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2.95" customHeight="1" x14ac:dyDescent="0.2">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2.95" customHeight="1" x14ac:dyDescent="0.2">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2.95" customHeight="1" x14ac:dyDescent="0.2">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2.95" customHeight="1" x14ac:dyDescent="0.2">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2.95" customHeight="1" x14ac:dyDescent="0.2">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2.95" customHeight="1" x14ac:dyDescent="0.2">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2.95" customHeight="1" x14ac:dyDescent="0.2">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2.95" customHeight="1" x14ac:dyDescent="0.2">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2.95" customHeight="1" x14ac:dyDescent="0.2">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2.95" customHeight="1" x14ac:dyDescent="0.2">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2.95" customHeight="1" x14ac:dyDescent="0.2">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2.95" customHeight="1" x14ac:dyDescent="0.2">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2.95" customHeight="1" x14ac:dyDescent="0.2">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2.95" customHeight="1" x14ac:dyDescent="0.2">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2.95" customHeight="1" x14ac:dyDescent="0.2">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2.95" customHeight="1" x14ac:dyDescent="0.2">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2.95" customHeight="1" x14ac:dyDescent="0.2">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2.95" customHeight="1" x14ac:dyDescent="0.2">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2.95" customHeight="1" x14ac:dyDescent="0.2">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2.95" customHeight="1" x14ac:dyDescent="0.2">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2.95" customHeight="1" x14ac:dyDescent="0.2">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2.95" customHeight="1" x14ac:dyDescent="0.2">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2.95" customHeight="1" x14ac:dyDescent="0.2">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2.95" customHeight="1" x14ac:dyDescent="0.2">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2.95" customHeight="1" x14ac:dyDescent="0.2">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2.95" customHeight="1" x14ac:dyDescent="0.2">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2.95" customHeight="1" x14ac:dyDescent="0.2">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2.95" customHeight="1" x14ac:dyDescent="0.2">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2.95" customHeight="1" x14ac:dyDescent="0.2">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2.95" customHeight="1" x14ac:dyDescent="0.2">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2.95" customHeight="1" x14ac:dyDescent="0.2">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2.95" customHeight="1" x14ac:dyDescent="0.2">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2.95" customHeight="1" x14ac:dyDescent="0.2">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2.95" customHeight="1" x14ac:dyDescent="0.2">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2.95" customHeight="1" x14ac:dyDescent="0.2">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2.95" customHeight="1" x14ac:dyDescent="0.2">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2.95" customHeight="1" x14ac:dyDescent="0.2">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2.95" customHeight="1" x14ac:dyDescent="0.2">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2.95" customHeight="1" x14ac:dyDescent="0.2">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2.95" customHeight="1" x14ac:dyDescent="0.2">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2.95" customHeight="1" x14ac:dyDescent="0.2">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2.95" customHeight="1" x14ac:dyDescent="0.2">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2.95" customHeight="1" x14ac:dyDescent="0.2">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2.95" customHeight="1" x14ac:dyDescent="0.2">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2.95" customHeight="1" x14ac:dyDescent="0.2">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2.95" customHeight="1" x14ac:dyDescent="0.2">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2.95" customHeight="1" x14ac:dyDescent="0.2">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2.95" customHeight="1" x14ac:dyDescent="0.2">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2.95" customHeight="1" x14ac:dyDescent="0.2">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2.95" customHeight="1" x14ac:dyDescent="0.2">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2.95" customHeight="1" x14ac:dyDescent="0.2">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2.95" customHeight="1" x14ac:dyDescent="0.2">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2.95" customHeight="1" x14ac:dyDescent="0.2">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2.95" customHeight="1" x14ac:dyDescent="0.2">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2.95" customHeight="1" x14ac:dyDescent="0.2">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2.95" customHeight="1" x14ac:dyDescent="0.2">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2.95" customHeight="1" x14ac:dyDescent="0.2">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2.95" customHeight="1" x14ac:dyDescent="0.2">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2.95" customHeight="1" x14ac:dyDescent="0.2">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2.95" customHeight="1" x14ac:dyDescent="0.2">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2.95" customHeight="1" x14ac:dyDescent="0.2">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2.95" customHeight="1" x14ac:dyDescent="0.2">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2.95" customHeight="1" x14ac:dyDescent="0.2">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2.95" customHeight="1" x14ac:dyDescent="0.2">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2.95" customHeight="1" x14ac:dyDescent="0.2">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2.95" customHeight="1" x14ac:dyDescent="0.2">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2.95" customHeight="1" x14ac:dyDescent="0.2">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2.95" customHeight="1" x14ac:dyDescent="0.2">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2.95" customHeight="1" x14ac:dyDescent="0.2">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2.95" customHeight="1" x14ac:dyDescent="0.2">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2.95" customHeight="1" x14ac:dyDescent="0.2">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2.95" customHeight="1" x14ac:dyDescent="0.2">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2.95" customHeight="1" x14ac:dyDescent="0.2">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2.95" customHeight="1" x14ac:dyDescent="0.2">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2.95" customHeight="1" x14ac:dyDescent="0.2">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2.95" customHeight="1" x14ac:dyDescent="0.2">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2.95" customHeight="1" x14ac:dyDescent="0.2">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2.95" customHeight="1" x14ac:dyDescent="0.2">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2.95" customHeight="1" x14ac:dyDescent="0.2">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2.95" customHeight="1" x14ac:dyDescent="0.2">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2.95" customHeight="1" x14ac:dyDescent="0.2">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2.95" customHeight="1" x14ac:dyDescent="0.2">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2.95" customHeight="1" x14ac:dyDescent="0.2">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2.95" customHeight="1" x14ac:dyDescent="0.2">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2.95" customHeight="1" x14ac:dyDescent="0.2">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2.95" customHeight="1" x14ac:dyDescent="0.2">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2.95" customHeight="1" x14ac:dyDescent="0.2">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2.95" customHeight="1" x14ac:dyDescent="0.2">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2.95" customHeight="1" x14ac:dyDescent="0.2">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2.95" customHeight="1" x14ac:dyDescent="0.2">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2.95" customHeight="1" x14ac:dyDescent="0.2">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2.95" customHeight="1" x14ac:dyDescent="0.2">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2.95" customHeight="1" x14ac:dyDescent="0.2">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2.95" customHeight="1" x14ac:dyDescent="0.2">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2.95" customHeight="1" x14ac:dyDescent="0.2">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2.95" customHeight="1" x14ac:dyDescent="0.2">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2.95" customHeight="1" x14ac:dyDescent="0.2">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2.95" customHeight="1" x14ac:dyDescent="0.2">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2.95" customHeight="1" x14ac:dyDescent="0.2">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2.95" customHeight="1" x14ac:dyDescent="0.2">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2.95" customHeight="1" x14ac:dyDescent="0.2">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2.95" customHeight="1" x14ac:dyDescent="0.2">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2.95" customHeight="1" x14ac:dyDescent="0.2">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2.95" customHeight="1" x14ac:dyDescent="0.2">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2.95" customHeight="1" x14ac:dyDescent="0.2">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2.95" customHeight="1" x14ac:dyDescent="0.2">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2.95" customHeight="1" x14ac:dyDescent="0.2">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2.95" customHeight="1" x14ac:dyDescent="0.2">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2.95" customHeight="1" x14ac:dyDescent="0.2">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2.95" customHeight="1" x14ac:dyDescent="0.2">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2.95" customHeight="1" x14ac:dyDescent="0.2">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2.95" customHeight="1" x14ac:dyDescent="0.2">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2.95" customHeight="1" x14ac:dyDescent="0.2">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2.95" customHeight="1" x14ac:dyDescent="0.2">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2.95" customHeight="1" x14ac:dyDescent="0.2">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2.95" customHeight="1" x14ac:dyDescent="0.2">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2.95" customHeight="1" x14ac:dyDescent="0.2">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2.95" customHeight="1" x14ac:dyDescent="0.2">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2.95" customHeight="1" x14ac:dyDescent="0.2">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2.95" customHeight="1" x14ac:dyDescent="0.2">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2.95" customHeight="1" x14ac:dyDescent="0.2">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2.95" customHeight="1" x14ac:dyDescent="0.2">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2.95" customHeight="1" x14ac:dyDescent="0.2">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2.95" customHeight="1" x14ac:dyDescent="0.2">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2.95" customHeight="1" x14ac:dyDescent="0.2">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2.95" customHeight="1" x14ac:dyDescent="0.2">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2.95" customHeight="1" x14ac:dyDescent="0.2">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2.95" customHeight="1" x14ac:dyDescent="0.2">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2.95" customHeight="1" x14ac:dyDescent="0.2">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2.95" customHeight="1" x14ac:dyDescent="0.2">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2.95" customHeight="1" x14ac:dyDescent="0.2">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2.95" customHeight="1" x14ac:dyDescent="0.2">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2.95" customHeight="1" x14ac:dyDescent="0.2">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2.95" customHeight="1" x14ac:dyDescent="0.2">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2.95" customHeight="1" x14ac:dyDescent="0.2">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2.95" customHeight="1" x14ac:dyDescent="0.2">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2.95" customHeight="1" x14ac:dyDescent="0.2">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2.95" customHeight="1" x14ac:dyDescent="0.2">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2.95" customHeight="1" x14ac:dyDescent="0.2">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2.95" customHeight="1" x14ac:dyDescent="0.2">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2.95" customHeight="1" x14ac:dyDescent="0.2">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2.95" customHeight="1" x14ac:dyDescent="0.2">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2.95" customHeight="1" x14ac:dyDescent="0.2">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2.95" customHeight="1" x14ac:dyDescent="0.2">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2.95" customHeight="1" x14ac:dyDescent="0.2">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2.95" customHeight="1" x14ac:dyDescent="0.2">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2.95" customHeight="1" x14ac:dyDescent="0.2">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2.95" customHeight="1" x14ac:dyDescent="0.2">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2.95" customHeight="1" x14ac:dyDescent="0.2">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2.95" customHeight="1" x14ac:dyDescent="0.2">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2.95" customHeight="1" x14ac:dyDescent="0.2">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2.95" customHeight="1" x14ac:dyDescent="0.2">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2.95" customHeight="1" x14ac:dyDescent="0.2">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2.95" customHeight="1" x14ac:dyDescent="0.2">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2.95" customHeight="1" x14ac:dyDescent="0.2">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2.95" customHeight="1" x14ac:dyDescent="0.2">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2.95" customHeight="1" x14ac:dyDescent="0.2">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2.95" customHeight="1" x14ac:dyDescent="0.2">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2.95" customHeight="1" x14ac:dyDescent="0.2">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2.95" customHeight="1" x14ac:dyDescent="0.2">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2.95" customHeight="1" x14ac:dyDescent="0.2">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2.95" customHeight="1" x14ac:dyDescent="0.2">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2.95" customHeight="1" x14ac:dyDescent="0.2">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2.95" customHeight="1" x14ac:dyDescent="0.2">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2.95" customHeight="1" x14ac:dyDescent="0.2">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2.95" customHeight="1" x14ac:dyDescent="0.2">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2.95" customHeight="1" x14ac:dyDescent="0.2">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2.95" customHeight="1" x14ac:dyDescent="0.2">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2.95" customHeight="1" x14ac:dyDescent="0.2">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2.95" customHeight="1" x14ac:dyDescent="0.2">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2.95" customHeight="1" x14ac:dyDescent="0.2">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2.95" customHeight="1" x14ac:dyDescent="0.2">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2.95" customHeight="1" x14ac:dyDescent="0.2">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2.95" customHeight="1" x14ac:dyDescent="0.2">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2.95" customHeight="1" x14ac:dyDescent="0.2">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2.95" customHeight="1" x14ac:dyDescent="0.2">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2.95" customHeight="1" x14ac:dyDescent="0.2">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2.95" customHeight="1" x14ac:dyDescent="0.2">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2.95" customHeight="1" x14ac:dyDescent="0.2">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2.95" customHeight="1" x14ac:dyDescent="0.2">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2.95" customHeight="1" x14ac:dyDescent="0.2">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2.95" customHeight="1" x14ac:dyDescent="0.2">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2.95" customHeight="1" x14ac:dyDescent="0.2">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2.95" customHeight="1" x14ac:dyDescent="0.2">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2.95" customHeight="1" x14ac:dyDescent="0.2">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2.95" customHeight="1" x14ac:dyDescent="0.2">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2.95" customHeight="1" x14ac:dyDescent="0.2">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2.95" customHeight="1" x14ac:dyDescent="0.2">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2.95" customHeight="1" x14ac:dyDescent="0.2">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2.95" customHeight="1" x14ac:dyDescent="0.2">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2.95" customHeight="1" x14ac:dyDescent="0.2">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2.95" customHeight="1" x14ac:dyDescent="0.2">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2.95" customHeight="1" x14ac:dyDescent="0.2">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2.95" customHeight="1" x14ac:dyDescent="0.2">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2.95" customHeight="1" x14ac:dyDescent="0.2">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2.95" customHeight="1" x14ac:dyDescent="0.2">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2.95" customHeight="1" x14ac:dyDescent="0.2">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2.95" customHeight="1" x14ac:dyDescent="0.2">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2.95" customHeight="1" x14ac:dyDescent="0.2">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2.95" customHeight="1" x14ac:dyDescent="0.2">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2.95" customHeight="1" x14ac:dyDescent="0.2">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2.95" customHeight="1" x14ac:dyDescent="0.2">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2.95" customHeight="1" x14ac:dyDescent="0.2">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2.95" customHeight="1" x14ac:dyDescent="0.2">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2.95" customHeight="1" x14ac:dyDescent="0.2">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2.95" customHeight="1" x14ac:dyDescent="0.2">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2.95" customHeight="1" x14ac:dyDescent="0.2">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2.95" customHeight="1" x14ac:dyDescent="0.2">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2.95" customHeight="1" x14ac:dyDescent="0.2">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2.95" customHeight="1" x14ac:dyDescent="0.2">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2.95" customHeight="1" x14ac:dyDescent="0.2">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2.95" customHeight="1" x14ac:dyDescent="0.2">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2.95" customHeight="1" x14ac:dyDescent="0.2">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2.95" customHeight="1" x14ac:dyDescent="0.2">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2.95" customHeight="1" x14ac:dyDescent="0.2">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2.95" customHeight="1" x14ac:dyDescent="0.2">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2.95" customHeight="1" x14ac:dyDescent="0.2">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2.95" customHeight="1" x14ac:dyDescent="0.2">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2.95" customHeight="1" x14ac:dyDescent="0.2">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2.95" customHeight="1" x14ac:dyDescent="0.2">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2.95" customHeight="1" x14ac:dyDescent="0.2">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2.95" customHeight="1" x14ac:dyDescent="0.2">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2.95" customHeight="1" x14ac:dyDescent="0.2">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2.95" customHeight="1" x14ac:dyDescent="0.2">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2.95" customHeight="1" x14ac:dyDescent="0.2">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2.95" customHeight="1" x14ac:dyDescent="0.2">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2.95" customHeight="1" x14ac:dyDescent="0.2">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2.95" customHeight="1" x14ac:dyDescent="0.2">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2.95" customHeight="1" x14ac:dyDescent="0.2">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2.95" customHeight="1" x14ac:dyDescent="0.2">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2.95" customHeight="1" x14ac:dyDescent="0.2">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2.95" customHeight="1" x14ac:dyDescent="0.2">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2.95" customHeight="1" x14ac:dyDescent="0.2">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2.95" customHeight="1" x14ac:dyDescent="0.2">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2.95" customHeight="1" x14ac:dyDescent="0.2">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2.95" customHeight="1" x14ac:dyDescent="0.2">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2.95" customHeight="1" x14ac:dyDescent="0.2">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2.95" customHeight="1" x14ac:dyDescent="0.2">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2.95" customHeight="1" x14ac:dyDescent="0.2">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2.95" customHeight="1" x14ac:dyDescent="0.2">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2.95" customHeight="1" x14ac:dyDescent="0.2">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2.95" customHeight="1" x14ac:dyDescent="0.2">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2.95" customHeight="1" x14ac:dyDescent="0.2">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2.95" customHeight="1" x14ac:dyDescent="0.2">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2.95" customHeight="1" x14ac:dyDescent="0.2">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2.95" customHeight="1" x14ac:dyDescent="0.2">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2.95" customHeight="1" x14ac:dyDescent="0.2">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2.95" customHeight="1" x14ac:dyDescent="0.2">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2.95" customHeight="1" x14ac:dyDescent="0.2">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2.95" customHeight="1" x14ac:dyDescent="0.2">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2.95" customHeight="1" x14ac:dyDescent="0.2">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2.95" customHeight="1" x14ac:dyDescent="0.2">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2.95" customHeight="1" x14ac:dyDescent="0.2">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2.95" customHeight="1" x14ac:dyDescent="0.2">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2.95" customHeight="1" x14ac:dyDescent="0.2">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2.95" customHeight="1" x14ac:dyDescent="0.2">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2.95" customHeight="1" x14ac:dyDescent="0.2">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2.95" customHeight="1" x14ac:dyDescent="0.2">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2.95" customHeight="1" x14ac:dyDescent="0.2">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2.95" customHeight="1" x14ac:dyDescent="0.2">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2.95" customHeight="1" x14ac:dyDescent="0.2">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2.95" customHeight="1" x14ac:dyDescent="0.2">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2.95" customHeight="1" x14ac:dyDescent="0.2">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2.95" customHeight="1" x14ac:dyDescent="0.2">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2.95" customHeight="1" x14ac:dyDescent="0.2">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2.95" customHeight="1" x14ac:dyDescent="0.2">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2.95" customHeight="1" x14ac:dyDescent="0.2">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2.95" customHeight="1" x14ac:dyDescent="0.2">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2.95" customHeight="1" x14ac:dyDescent="0.2">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2.95" customHeight="1" x14ac:dyDescent="0.2">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2.95" customHeight="1" x14ac:dyDescent="0.2">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2.95" customHeight="1" x14ac:dyDescent="0.2">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2.95" customHeight="1" x14ac:dyDescent="0.2">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2.95" customHeight="1" x14ac:dyDescent="0.2">
      <c r="M867" s="532"/>
      <c r="N867" s="532"/>
      <c r="O867" s="532"/>
      <c r="P867" s="90"/>
      <c r="Q867" s="532"/>
      <c r="R867" s="219"/>
      <c r="S867" s="532"/>
      <c r="T867" s="90"/>
      <c r="U867" s="532"/>
      <c r="V867" s="532"/>
      <c r="W867" s="532"/>
      <c r="X867" s="532"/>
      <c r="Y867" s="532"/>
      <c r="Z867" s="532"/>
      <c r="AA867" s="532"/>
      <c r="AB867" s="532"/>
      <c r="AC867" s="532"/>
      <c r="AD867" s="532"/>
      <c r="AE867" s="532"/>
      <c r="AF867" s="532"/>
      <c r="AG867" s="532"/>
      <c r="AH867" s="532"/>
      <c r="AI867" s="532"/>
      <c r="AJ867" s="532"/>
    </row>
    <row r="868" spans="13:36" ht="12.95" customHeight="1" x14ac:dyDescent="0.2">
      <c r="W868" s="532"/>
      <c r="X868" s="532"/>
      <c r="Y868" s="532"/>
      <c r="Z868" s="532"/>
      <c r="AA868" s="532"/>
      <c r="AB868" s="532"/>
      <c r="AC868" s="532"/>
      <c r="AD868" s="532"/>
      <c r="AE868" s="532"/>
      <c r="AF868" s="532"/>
      <c r="AG868" s="532"/>
      <c r="AH868" s="532"/>
      <c r="AI868" s="532"/>
      <c r="AJ868"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5" display="Go to machinery operations" xr:uid="{00000000-0004-0000-0700-000000000000}"/>
    <hyperlink ref="N39" location="Table6" display="Go to machinery operations" xr:uid="{00000000-0004-0000-0700-000001000000}"/>
  </hyperlinks>
  <pageMargins left="0.7" right="0.7" top="0.75" bottom="0.75" header="0.3" footer="0.3"/>
  <pageSetup scale="84" fitToWidth="2" fitToHeight="2" orientation="portrait" r:id="rId1"/>
  <headerFooter alignWithMargins="0">
    <oddFooter>&amp;L&amp;A&amp;C&amp;F&amp;R&amp;D</oddFooter>
  </headerFooter>
  <rowBreaks count="1" manualBreakCount="1">
    <brk id="72" max="11" man="1"/>
  </rowBreaks>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pageSetUpPr autoPageBreaks="0"/>
  </sheetPr>
  <dimension ref="A1:AL867"/>
  <sheetViews>
    <sheetView zoomScale="90" zoomScaleNormal="90" zoomScaleSheetLayoutView="70" workbookViewId="0">
      <selection activeCell="P16" sqref="P16"/>
    </sheetView>
  </sheetViews>
  <sheetFormatPr defaultColWidth="18.7109375" defaultRowHeight="12.95" customHeight="1" x14ac:dyDescent="0.2"/>
  <cols>
    <col min="1" max="1" width="3.140625" style="154" customWidth="1"/>
    <col min="2" max="2" width="0.5703125" style="31" customWidth="1"/>
    <col min="3" max="3" width="27.7109375" style="31" customWidth="1"/>
    <col min="4" max="4" width="2.42578125" style="31" customWidth="1"/>
    <col min="5" max="5" width="8.7109375" style="31" customWidth="1"/>
    <col min="6" max="6" width="2.140625" style="31" customWidth="1"/>
    <col min="7" max="7" width="8.7109375" style="31" customWidth="1"/>
    <col min="8" max="8" width="2.28515625" style="31" customWidth="1"/>
    <col min="9" max="9" width="8.7109375" style="31" customWidth="1"/>
    <col min="10" max="10" width="2.28515625" style="31" customWidth="1"/>
    <col min="11" max="11" width="10.7109375" style="31" bestFit="1" customWidth="1"/>
    <col min="12" max="12" width="7.140625" style="121" customWidth="1"/>
    <col min="13" max="13" width="0.5703125" customWidth="1"/>
    <col min="14" max="14" width="28.42578125" customWidth="1"/>
    <col min="15" max="15" width="2.42578125" customWidth="1"/>
    <col min="16" max="16" width="12" style="48" customWidth="1"/>
    <col min="17" max="17" width="2.42578125" customWidth="1"/>
    <col min="18" max="18" width="11" style="18" customWidth="1"/>
    <col min="19" max="19" width="2.42578125" customWidth="1"/>
    <col min="20" max="20" width="10.7109375" style="48" customWidth="1"/>
    <col min="21" max="21" width="2.42578125" customWidth="1"/>
    <col min="22" max="22" width="10.7109375" style="30" bestFit="1" customWidth="1"/>
    <col min="23" max="23" width="3.28515625" hidden="1" customWidth="1"/>
  </cols>
  <sheetData>
    <row r="1" spans="1:38" s="31" customFormat="1" ht="12" customHeight="1" x14ac:dyDescent="0.25">
      <c r="A1" s="249"/>
      <c r="C1" s="197"/>
      <c r="L1" s="121"/>
      <c r="M1" s="44"/>
      <c r="N1" s="44"/>
      <c r="O1" s="44"/>
      <c r="P1" s="62"/>
      <c r="Q1" s="44"/>
      <c r="R1" s="45"/>
      <c r="S1" s="44"/>
      <c r="T1" s="62"/>
      <c r="U1" s="44"/>
      <c r="V1" s="44"/>
      <c r="X1" s="532"/>
      <c r="Y1" s="532"/>
      <c r="Z1" s="532"/>
      <c r="AA1" s="532"/>
      <c r="AB1" s="532"/>
      <c r="AC1" s="532"/>
      <c r="AD1" s="532"/>
      <c r="AE1" s="532"/>
      <c r="AF1" s="532"/>
      <c r="AG1" s="532"/>
      <c r="AH1" s="532"/>
      <c r="AI1" s="532"/>
      <c r="AJ1" s="532"/>
      <c r="AK1" s="532"/>
      <c r="AL1" s="532"/>
    </row>
    <row r="2" spans="1:38" s="31" customFormat="1" ht="12.75" x14ac:dyDescent="0.2">
      <c r="A2" s="250"/>
      <c r="B2" s="44"/>
      <c r="C2" s="241" t="s">
        <v>211</v>
      </c>
      <c r="D2" s="44"/>
      <c r="E2" s="62"/>
      <c r="F2" s="44"/>
      <c r="G2" s="45"/>
      <c r="H2" s="44"/>
      <c r="I2" s="62"/>
      <c r="J2" s="44"/>
      <c r="K2" s="134"/>
      <c r="L2" s="121"/>
      <c r="W2" s="44"/>
      <c r="X2" s="532"/>
      <c r="Y2" s="532"/>
      <c r="Z2" s="532"/>
      <c r="AA2" s="532"/>
      <c r="AB2" s="532"/>
      <c r="AC2" s="532"/>
      <c r="AD2" s="532"/>
      <c r="AE2" s="532"/>
      <c r="AF2" s="532"/>
      <c r="AG2" s="532"/>
      <c r="AH2" s="532"/>
      <c r="AI2" s="532"/>
      <c r="AJ2" s="532"/>
      <c r="AK2" s="532"/>
      <c r="AL2" s="532"/>
    </row>
    <row r="3" spans="1:38" s="31" customFormat="1" ht="12.75" x14ac:dyDescent="0.2">
      <c r="A3" s="250"/>
      <c r="B3" s="117"/>
      <c r="C3" s="118" t="s">
        <v>200</v>
      </c>
      <c r="L3" s="121"/>
      <c r="X3" s="532"/>
      <c r="Y3" s="532"/>
      <c r="Z3" s="532"/>
      <c r="AA3" s="532"/>
      <c r="AB3" s="532"/>
      <c r="AC3" s="532"/>
      <c r="AD3" s="532"/>
      <c r="AE3" s="532"/>
      <c r="AF3" s="532"/>
      <c r="AG3" s="532"/>
      <c r="AH3" s="532"/>
      <c r="AI3" s="532"/>
      <c r="AJ3" s="532"/>
      <c r="AK3" s="532"/>
      <c r="AL3" s="532"/>
    </row>
    <row r="4" spans="1:38" s="65" customFormat="1" ht="14.25" x14ac:dyDescent="0.2">
      <c r="A4" s="184"/>
      <c r="B4" s="119"/>
      <c r="C4" s="661" t="s">
        <v>212</v>
      </c>
      <c r="D4" s="661"/>
      <c r="E4" s="661"/>
      <c r="F4" s="661"/>
      <c r="G4" s="661"/>
      <c r="H4" s="661"/>
      <c r="I4" s="661"/>
      <c r="J4" s="661"/>
      <c r="K4" s="661"/>
      <c r="L4" s="184"/>
      <c r="X4" s="108"/>
      <c r="Y4" s="108"/>
      <c r="Z4" s="108"/>
      <c r="AA4" s="108"/>
      <c r="AB4" s="108"/>
      <c r="AC4" s="108"/>
      <c r="AD4" s="108"/>
      <c r="AE4" s="108"/>
      <c r="AF4" s="108"/>
      <c r="AG4" s="108"/>
      <c r="AH4" s="108"/>
      <c r="AI4" s="108"/>
      <c r="AJ4" s="108"/>
      <c r="AK4" s="108"/>
      <c r="AL4" s="108"/>
    </row>
    <row r="5" spans="1:38" s="31" customFormat="1" ht="12.75" x14ac:dyDescent="0.2">
      <c r="A5" s="198"/>
      <c r="B5" s="120"/>
      <c r="C5" s="120" t="s">
        <v>213</v>
      </c>
      <c r="D5" s="120"/>
      <c r="E5" s="120"/>
      <c r="F5" s="120"/>
      <c r="G5" s="120"/>
      <c r="H5" s="120"/>
      <c r="I5" s="120"/>
      <c r="J5" s="120"/>
      <c r="K5" s="120"/>
      <c r="L5" s="121"/>
      <c r="X5" s="532"/>
      <c r="Y5" s="532"/>
      <c r="Z5" s="532"/>
      <c r="AA5" s="532"/>
      <c r="AB5" s="532"/>
      <c r="AC5" s="532"/>
      <c r="AD5" s="532"/>
      <c r="AE5" s="532"/>
      <c r="AF5" s="532"/>
      <c r="AG5" s="532"/>
      <c r="AH5" s="532"/>
      <c r="AI5" s="532"/>
      <c r="AJ5" s="532"/>
      <c r="AK5" s="532"/>
      <c r="AL5" s="532"/>
    </row>
    <row r="6" spans="1:38" s="31" customFormat="1" ht="12.75" x14ac:dyDescent="0.2">
      <c r="A6" s="198"/>
      <c r="B6" s="105"/>
      <c r="C6" s="662" t="s">
        <v>240</v>
      </c>
      <c r="D6" s="662"/>
      <c r="E6" s="662"/>
      <c r="F6" s="662"/>
      <c r="G6" s="662"/>
      <c r="H6" s="662"/>
      <c r="I6" s="662"/>
      <c r="J6" s="662"/>
      <c r="K6" s="662"/>
      <c r="L6" s="121"/>
      <c r="X6" s="532"/>
      <c r="Y6" s="532"/>
      <c r="Z6" s="532"/>
      <c r="AA6" s="532"/>
      <c r="AB6" s="532"/>
      <c r="AC6" s="532"/>
      <c r="AD6" s="532"/>
      <c r="AE6" s="532"/>
      <c r="AF6" s="532"/>
      <c r="AG6" s="532"/>
      <c r="AH6" s="532"/>
      <c r="AI6" s="532"/>
      <c r="AJ6" s="532"/>
      <c r="AK6" s="532"/>
      <c r="AL6" s="532"/>
    </row>
    <row r="7" spans="1:38" s="31" customFormat="1" ht="25.5" customHeight="1" x14ac:dyDescent="0.2">
      <c r="A7" s="198"/>
      <c r="L7" s="121"/>
      <c r="P7" s="46"/>
      <c r="R7" s="32"/>
      <c r="T7" s="46"/>
      <c r="X7" s="532"/>
      <c r="Y7" s="532"/>
      <c r="Z7" s="532"/>
      <c r="AA7" s="532"/>
      <c r="AB7" s="532"/>
      <c r="AC7" s="532"/>
      <c r="AD7" s="532"/>
      <c r="AE7" s="532"/>
      <c r="AF7" s="532"/>
      <c r="AG7" s="532"/>
      <c r="AH7" s="532"/>
      <c r="AI7" s="532"/>
      <c r="AJ7" s="532"/>
      <c r="AK7" s="532"/>
      <c r="AL7" s="532"/>
    </row>
    <row r="8" spans="1:38" s="31" customFormat="1" ht="15.75" x14ac:dyDescent="0.25">
      <c r="A8" s="249"/>
      <c r="C8" s="197" t="s">
        <v>507</v>
      </c>
      <c r="L8" s="121"/>
      <c r="M8" s="44"/>
      <c r="N8" s="197" t="s">
        <v>507</v>
      </c>
      <c r="O8" s="44"/>
      <c r="P8" s="62"/>
      <c r="Q8" s="44"/>
      <c r="R8" s="45"/>
      <c r="S8" s="44"/>
      <c r="T8" s="62"/>
      <c r="U8" s="44"/>
      <c r="V8" s="44"/>
      <c r="X8" s="532"/>
      <c r="Y8" s="532"/>
      <c r="Z8" s="532"/>
      <c r="AA8" s="532"/>
      <c r="AB8" s="532"/>
      <c r="AC8" s="532"/>
      <c r="AD8" s="532"/>
      <c r="AE8" s="532"/>
      <c r="AF8" s="532"/>
      <c r="AG8" s="532"/>
      <c r="AH8" s="532"/>
      <c r="AI8" s="532"/>
      <c r="AJ8" s="532"/>
      <c r="AK8" s="532"/>
      <c r="AL8" s="532"/>
    </row>
    <row r="9" spans="1:38" s="31" customFormat="1" ht="8.25" customHeight="1" x14ac:dyDescent="0.25">
      <c r="A9" s="249"/>
      <c r="C9" s="197"/>
      <c r="L9" s="121"/>
      <c r="M9" s="44"/>
      <c r="N9" s="44"/>
      <c r="O9" s="44"/>
      <c r="P9" s="62"/>
      <c r="Q9" s="44"/>
      <c r="R9" s="45"/>
      <c r="S9" s="44"/>
      <c r="T9" s="62"/>
      <c r="U9" s="44"/>
      <c r="V9" s="44"/>
      <c r="X9" s="532"/>
      <c r="Y9" s="532"/>
      <c r="Z9" s="532"/>
      <c r="AA9" s="532"/>
      <c r="AB9" s="532"/>
      <c r="AC9" s="532"/>
      <c r="AD9" s="532"/>
      <c r="AE9" s="532"/>
      <c r="AF9" s="532"/>
      <c r="AG9" s="532"/>
      <c r="AH9" s="532"/>
      <c r="AI9" s="532"/>
      <c r="AJ9" s="532"/>
      <c r="AK9" s="532"/>
      <c r="AL9" s="532"/>
    </row>
    <row r="10" spans="1:38" s="69" customFormat="1" ht="15.75" x14ac:dyDescent="0.25">
      <c r="A10" s="198"/>
      <c r="B10" s="68"/>
      <c r="C10" s="182" t="s">
        <v>224</v>
      </c>
      <c r="D10" s="68"/>
      <c r="E10" s="68"/>
      <c r="F10" s="68"/>
      <c r="G10" s="68"/>
      <c r="H10" s="68"/>
      <c r="I10" s="68"/>
      <c r="J10" s="68"/>
      <c r="K10" s="68"/>
      <c r="L10" s="92"/>
      <c r="M10" s="92"/>
      <c r="N10" s="677" t="s">
        <v>190</v>
      </c>
      <c r="O10" s="678"/>
      <c r="P10" s="678"/>
      <c r="Q10" s="678"/>
      <c r="R10" s="678"/>
      <c r="S10" s="678"/>
      <c r="T10" s="678"/>
      <c r="U10" s="678"/>
      <c r="V10" s="678"/>
      <c r="W10" s="678"/>
      <c r="X10" s="91"/>
      <c r="Y10" s="91"/>
      <c r="Z10" s="91"/>
      <c r="AA10" s="91"/>
      <c r="AB10" s="91"/>
      <c r="AC10" s="91"/>
      <c r="AD10" s="91"/>
      <c r="AE10" s="91"/>
      <c r="AF10" s="91"/>
      <c r="AG10" s="91"/>
      <c r="AH10" s="91"/>
      <c r="AI10" s="91"/>
      <c r="AJ10" s="91"/>
      <c r="AK10" s="91"/>
      <c r="AL10" s="91"/>
    </row>
    <row r="11" spans="1:38" s="67" customFormat="1" ht="5.25" customHeight="1" x14ac:dyDescent="0.2">
      <c r="A11" s="198"/>
      <c r="B11" s="84"/>
      <c r="C11" s="84"/>
      <c r="D11" s="84"/>
      <c r="E11" s="84"/>
      <c r="F11" s="84"/>
      <c r="G11" s="84"/>
      <c r="H11" s="84"/>
      <c r="I11" s="84"/>
      <c r="J11" s="84"/>
      <c r="K11" s="84"/>
      <c r="L11" s="184"/>
      <c r="M11" s="84"/>
      <c r="N11" s="84"/>
      <c r="O11" s="84"/>
      <c r="P11" s="85"/>
      <c r="Q11" s="84"/>
      <c r="R11" s="86"/>
      <c r="S11" s="84"/>
      <c r="T11" s="85"/>
      <c r="U11" s="84"/>
      <c r="V11" s="84"/>
      <c r="W11" s="84"/>
      <c r="X11" s="108"/>
      <c r="Y11" s="108"/>
      <c r="Z11" s="108"/>
      <c r="AA11" s="108"/>
      <c r="AB11" s="108"/>
      <c r="AC11" s="108"/>
      <c r="AD11" s="108"/>
      <c r="AE11" s="108"/>
      <c r="AF11" s="108"/>
      <c r="AG11" s="108"/>
      <c r="AH11" s="108"/>
      <c r="AI11" s="108"/>
      <c r="AJ11" s="108"/>
      <c r="AK11" s="108"/>
      <c r="AL11" s="108"/>
    </row>
    <row r="12" spans="1:38" s="66" customFormat="1" ht="15" customHeight="1" x14ac:dyDescent="0.2">
      <c r="A12" s="108"/>
      <c r="B12" s="124"/>
      <c r="C12" s="123"/>
      <c r="D12" s="123"/>
      <c r="E12" s="124" t="s">
        <v>87</v>
      </c>
      <c r="F12" s="124"/>
      <c r="G12" s="125"/>
      <c r="H12" s="124"/>
      <c r="I12" s="124" t="s">
        <v>88</v>
      </c>
      <c r="J12" s="124"/>
      <c r="K12" s="124" t="s">
        <v>89</v>
      </c>
      <c r="L12" s="185"/>
      <c r="M12" s="124"/>
      <c r="N12" s="123"/>
      <c r="O12" s="123"/>
      <c r="P12" s="124" t="s">
        <v>87</v>
      </c>
      <c r="Q12" s="124"/>
      <c r="R12" s="125"/>
      <c r="S12" s="124"/>
      <c r="T12" s="124" t="s">
        <v>88</v>
      </c>
      <c r="U12" s="124"/>
      <c r="V12" s="124" t="s">
        <v>89</v>
      </c>
      <c r="X12" s="108"/>
      <c r="Y12" s="108"/>
      <c r="Z12" s="108"/>
      <c r="AA12" s="108"/>
      <c r="AB12" s="108"/>
      <c r="AC12" s="108"/>
      <c r="AD12" s="108"/>
      <c r="AE12" s="108"/>
      <c r="AF12" s="108"/>
      <c r="AG12" s="108"/>
      <c r="AH12" s="108"/>
      <c r="AI12" s="108"/>
      <c r="AJ12" s="108"/>
      <c r="AK12" s="108"/>
      <c r="AL12" s="108"/>
    </row>
    <row r="13" spans="1:38" s="66" customFormat="1" ht="14.25" x14ac:dyDescent="0.2">
      <c r="A13" s="108"/>
      <c r="B13" s="124"/>
      <c r="C13" s="126" t="s">
        <v>90</v>
      </c>
      <c r="D13" s="123"/>
      <c r="E13" s="124" t="s">
        <v>41</v>
      </c>
      <c r="F13" s="124"/>
      <c r="G13" s="125" t="s">
        <v>42</v>
      </c>
      <c r="H13" s="124"/>
      <c r="I13" s="124" t="s">
        <v>1</v>
      </c>
      <c r="J13" s="124"/>
      <c r="K13" s="124" t="s">
        <v>67</v>
      </c>
      <c r="L13" s="185"/>
      <c r="M13" s="124"/>
      <c r="N13" s="126" t="s">
        <v>90</v>
      </c>
      <c r="O13" s="123"/>
      <c r="P13" s="124" t="s">
        <v>41</v>
      </c>
      <c r="Q13" s="124"/>
      <c r="R13" s="125" t="s">
        <v>42</v>
      </c>
      <c r="S13" s="124"/>
      <c r="T13" s="124" t="s">
        <v>1</v>
      </c>
      <c r="U13" s="124"/>
      <c r="V13" s="124" t="s">
        <v>67</v>
      </c>
      <c r="X13" s="108"/>
      <c r="Y13" s="108"/>
      <c r="Z13" s="108"/>
      <c r="AA13" s="108"/>
      <c r="AB13" s="108"/>
      <c r="AC13" s="108"/>
      <c r="AD13" s="108"/>
      <c r="AE13" s="108"/>
      <c r="AF13" s="108"/>
      <c r="AG13" s="108"/>
      <c r="AH13" s="108"/>
      <c r="AI13" s="108"/>
      <c r="AJ13" s="108"/>
      <c r="AK13" s="108"/>
      <c r="AL13" s="108"/>
    </row>
    <row r="14" spans="1:38" ht="5.25" customHeight="1" x14ac:dyDescent="0.2">
      <c r="B14" s="128"/>
      <c r="C14" s="127"/>
      <c r="D14" s="128"/>
      <c r="E14" s="127"/>
      <c r="F14" s="128"/>
      <c r="G14" s="129"/>
      <c r="H14" s="128"/>
      <c r="I14" s="127"/>
      <c r="J14" s="128"/>
      <c r="K14" s="128"/>
      <c r="M14" s="128"/>
      <c r="N14" s="127"/>
      <c r="O14" s="128"/>
      <c r="P14" s="127"/>
      <c r="Q14" s="128"/>
      <c r="R14" s="129"/>
      <c r="S14" s="128"/>
      <c r="T14" s="127"/>
      <c r="U14" s="128"/>
      <c r="V14" s="128"/>
      <c r="W14" s="1"/>
      <c r="X14" s="532"/>
      <c r="Y14" s="532"/>
      <c r="Z14" s="532"/>
      <c r="AA14" s="532"/>
      <c r="AB14" s="532"/>
      <c r="AC14" s="532"/>
      <c r="AD14" s="532"/>
      <c r="AE14" s="532"/>
      <c r="AF14" s="532"/>
      <c r="AG14" s="532"/>
      <c r="AH14" s="532"/>
      <c r="AI14" s="532"/>
      <c r="AJ14" s="532"/>
      <c r="AK14" s="532"/>
      <c r="AL14" s="532"/>
    </row>
    <row r="15" spans="1:38" ht="12.75" x14ac:dyDescent="0.2">
      <c r="B15" s="9"/>
      <c r="C15" s="9"/>
      <c r="D15" s="9"/>
      <c r="E15" s="58"/>
      <c r="F15" s="9"/>
      <c r="G15" s="13"/>
      <c r="H15" s="9"/>
      <c r="I15" s="63"/>
      <c r="J15" s="9"/>
      <c r="K15" s="11"/>
      <c r="L15" s="186"/>
      <c r="M15" s="6"/>
      <c r="N15" s="5" t="s">
        <v>68</v>
      </c>
      <c r="O15" s="6"/>
      <c r="P15" s="34"/>
      <c r="Q15" s="6"/>
      <c r="R15" s="7"/>
      <c r="S15" s="6"/>
      <c r="T15" s="34"/>
      <c r="U15" s="6"/>
      <c r="V15" s="8"/>
      <c r="X15" s="532"/>
      <c r="Y15" s="532"/>
      <c r="Z15" s="532"/>
      <c r="AA15" s="532"/>
      <c r="AB15" s="532"/>
      <c r="AC15" s="532"/>
      <c r="AD15" s="532"/>
      <c r="AE15" s="532"/>
      <c r="AF15" s="532"/>
      <c r="AG15" s="532"/>
      <c r="AH15" s="532"/>
      <c r="AI15" s="532"/>
      <c r="AJ15" s="532"/>
      <c r="AK15" s="532"/>
      <c r="AL15" s="532"/>
    </row>
    <row r="16" spans="1:38" ht="12.75" x14ac:dyDescent="0.2">
      <c r="B16" s="6"/>
      <c r="C16" s="5"/>
      <c r="D16" s="6"/>
      <c r="E16" s="34"/>
      <c r="F16" s="6"/>
      <c r="G16" s="7"/>
      <c r="H16" s="6"/>
      <c r="I16" s="49"/>
      <c r="J16" s="6"/>
      <c r="K16" s="14"/>
      <c r="L16" s="186"/>
      <c r="M16" s="9"/>
      <c r="N16" s="180" t="s">
        <v>541</v>
      </c>
      <c r="O16" s="9"/>
      <c r="P16" s="115">
        <f>yHRWW_OR</f>
        <v>73</v>
      </c>
      <c r="Q16" s="9"/>
      <c r="R16" s="10" t="s">
        <v>91</v>
      </c>
      <c r="S16" s="9"/>
      <c r="T16" s="116">
        <f>Summary!F22</f>
        <v>7.65</v>
      </c>
      <c r="U16" s="9"/>
      <c r="V16" s="11">
        <f>P16*T16</f>
        <v>558.45000000000005</v>
      </c>
      <c r="W16" s="12"/>
      <c r="X16" s="136"/>
      <c r="Y16" s="532"/>
      <c r="Z16" s="532"/>
      <c r="AA16" s="532"/>
      <c r="AB16" s="532"/>
      <c r="AC16" s="532"/>
      <c r="AD16" s="532"/>
      <c r="AE16" s="532"/>
      <c r="AF16" s="532"/>
      <c r="AG16" s="532"/>
      <c r="AH16" s="532"/>
      <c r="AI16" s="532"/>
      <c r="AJ16" s="532"/>
      <c r="AK16" s="532"/>
      <c r="AL16" s="532"/>
    </row>
    <row r="17" spans="2:38" ht="12.75" x14ac:dyDescent="0.2">
      <c r="B17" s="6"/>
      <c r="C17" s="6"/>
      <c r="D17" s="6"/>
      <c r="E17" s="34"/>
      <c r="F17" s="6"/>
      <c r="G17" s="7"/>
      <c r="H17" s="6"/>
      <c r="I17" s="49"/>
      <c r="J17" s="6"/>
      <c r="K17" s="14"/>
      <c r="L17" s="186"/>
      <c r="M17" s="9"/>
      <c r="N17" s="9"/>
      <c r="O17" s="9"/>
      <c r="P17" s="58"/>
      <c r="Q17" s="9"/>
      <c r="R17" s="13"/>
      <c r="S17" s="9"/>
      <c r="T17" s="63"/>
      <c r="U17" s="9"/>
      <c r="V17" s="11"/>
      <c r="W17" s="12"/>
      <c r="X17" s="532"/>
      <c r="Y17" s="532"/>
      <c r="Z17" s="532"/>
      <c r="AA17" s="532"/>
      <c r="AB17" s="532"/>
      <c r="AC17" s="532"/>
      <c r="AD17" s="532"/>
      <c r="AE17" s="532"/>
      <c r="AF17" s="532"/>
      <c r="AG17" s="532"/>
      <c r="AH17" s="532"/>
      <c r="AI17" s="532"/>
      <c r="AJ17" s="532"/>
      <c r="AK17" s="532"/>
      <c r="AL17" s="532"/>
    </row>
    <row r="18" spans="2:38" ht="12.75" x14ac:dyDescent="0.2">
      <c r="B18" s="6"/>
      <c r="C18" s="5" t="s">
        <v>48</v>
      </c>
      <c r="D18" s="6"/>
      <c r="E18" s="34"/>
      <c r="F18" s="6"/>
      <c r="G18" s="7"/>
      <c r="H18" s="6"/>
      <c r="I18" s="49"/>
      <c r="J18" s="6"/>
      <c r="K18" s="14"/>
      <c r="L18" s="187"/>
      <c r="M18" s="6"/>
      <c r="N18" s="5" t="s">
        <v>48</v>
      </c>
      <c r="O18" s="6"/>
      <c r="P18" s="34"/>
      <c r="Q18" s="6"/>
      <c r="R18" s="7"/>
      <c r="S18" s="6"/>
      <c r="T18" s="49"/>
      <c r="U18" s="6"/>
      <c r="V18" s="14"/>
      <c r="X18" s="532"/>
      <c r="Y18" s="532"/>
      <c r="Z18" s="532"/>
      <c r="AA18" s="532"/>
      <c r="AB18" s="532"/>
      <c r="AC18" s="532"/>
      <c r="AD18" s="532"/>
      <c r="AE18" s="532"/>
      <c r="AF18" s="532"/>
      <c r="AG18" s="532"/>
      <c r="AH18" s="532"/>
      <c r="AI18" s="532"/>
      <c r="AJ18" s="532"/>
      <c r="AK18" s="532"/>
      <c r="AL18" s="532"/>
    </row>
    <row r="19" spans="2:38" ht="12.75" x14ac:dyDescent="0.2">
      <c r="B19" s="7"/>
      <c r="C19" s="7"/>
      <c r="D19" s="7"/>
      <c r="E19" s="7"/>
      <c r="F19" s="7"/>
      <c r="G19" s="7"/>
      <c r="H19" s="7"/>
      <c r="I19" s="7"/>
      <c r="J19" s="7"/>
      <c r="K19" s="14"/>
      <c r="L19" s="188"/>
      <c r="M19" s="6"/>
      <c r="N19" s="6"/>
      <c r="O19" s="6"/>
      <c r="P19" s="34"/>
      <c r="Q19" s="6"/>
      <c r="R19" s="7"/>
      <c r="S19" s="6"/>
      <c r="T19" s="49"/>
      <c r="U19" s="6"/>
      <c r="V19" s="14"/>
      <c r="X19" s="532"/>
      <c r="Y19" s="532"/>
      <c r="Z19" s="532"/>
      <c r="AA19" s="532"/>
      <c r="AB19" s="532"/>
      <c r="AC19" s="532"/>
      <c r="AD19" s="532"/>
      <c r="AE19" s="532"/>
      <c r="AF19" s="532"/>
      <c r="AG19" s="532"/>
      <c r="AH19" s="532"/>
      <c r="AI19" s="532"/>
      <c r="AJ19" s="532"/>
      <c r="AK19" s="532"/>
      <c r="AL19" s="532"/>
    </row>
    <row r="20" spans="2:38" ht="15.75" x14ac:dyDescent="0.25">
      <c r="B20" s="7"/>
      <c r="C20" s="7"/>
      <c r="D20" s="7"/>
      <c r="E20" s="7"/>
      <c r="F20" s="7"/>
      <c r="G20" s="7"/>
      <c r="H20" s="7"/>
      <c r="I20" s="7"/>
      <c r="J20" s="7"/>
      <c r="K20" s="14"/>
      <c r="L20" s="188"/>
      <c r="M20" s="6"/>
      <c r="N20" s="40" t="s">
        <v>69</v>
      </c>
      <c r="O20" s="6"/>
      <c r="P20" s="54"/>
      <c r="Q20" s="6"/>
      <c r="R20" s="7"/>
      <c r="S20" s="6"/>
      <c r="T20" s="49"/>
      <c r="U20" s="6"/>
      <c r="V20" s="107">
        <f>SUM(V21:V21)</f>
        <v>19.2</v>
      </c>
      <c r="X20" s="532"/>
      <c r="Y20" s="532"/>
      <c r="Z20" s="532"/>
      <c r="AA20" s="532"/>
      <c r="AB20" s="532"/>
      <c r="AC20" s="532"/>
      <c r="AD20" s="532"/>
      <c r="AE20" s="532"/>
      <c r="AF20" s="532"/>
      <c r="AG20" s="532"/>
      <c r="AH20" s="532"/>
      <c r="AI20" s="532"/>
      <c r="AJ20" s="532"/>
      <c r="AK20" s="532"/>
      <c r="AL20" s="532"/>
    </row>
    <row r="21" spans="2:38" ht="12.75" x14ac:dyDescent="0.2">
      <c r="B21" s="7"/>
      <c r="C21" s="7"/>
      <c r="D21" s="7"/>
      <c r="E21" s="7"/>
      <c r="F21" s="7"/>
      <c r="G21" s="7"/>
      <c r="H21" s="7"/>
      <c r="I21" s="7"/>
      <c r="J21" s="7"/>
      <c r="K21" s="14"/>
      <c r="L21" s="186"/>
      <c r="M21" s="6"/>
      <c r="N21" s="15" t="s">
        <v>92</v>
      </c>
      <c r="O21" s="6"/>
      <c r="P21" s="114">
        <v>80</v>
      </c>
      <c r="Q21" s="6"/>
      <c r="R21" s="16" t="s">
        <v>62</v>
      </c>
      <c r="S21" s="6"/>
      <c r="T21" s="111">
        <f>sdSWWW</f>
        <v>0.24</v>
      </c>
      <c r="U21" s="6"/>
      <c r="V21" s="14">
        <f>P21*T21</f>
        <v>19.2</v>
      </c>
      <c r="X21" s="136"/>
      <c r="Y21" s="532"/>
      <c r="Z21" s="532"/>
      <c r="AA21" s="532"/>
      <c r="AB21" s="532"/>
      <c r="AC21" s="532"/>
      <c r="AD21" s="532"/>
      <c r="AE21" s="532"/>
      <c r="AF21" s="532"/>
      <c r="AG21" s="532"/>
      <c r="AH21" s="532"/>
      <c r="AI21" s="532"/>
      <c r="AJ21" s="532"/>
      <c r="AK21" s="532"/>
      <c r="AL21" s="532"/>
    </row>
    <row r="22" spans="2:38" ht="12.75" x14ac:dyDescent="0.2">
      <c r="B22" s="7"/>
      <c r="C22" s="7"/>
      <c r="D22" s="7"/>
      <c r="E22" s="7"/>
      <c r="F22" s="7"/>
      <c r="G22" s="7"/>
      <c r="H22" s="7"/>
      <c r="I22" s="7"/>
      <c r="J22" s="7"/>
      <c r="K22" s="14"/>
      <c r="L22" s="186"/>
      <c r="M22" s="6"/>
      <c r="N22" s="6"/>
      <c r="O22" s="6"/>
      <c r="P22" s="34"/>
      <c r="Q22" s="6"/>
      <c r="R22" s="7"/>
      <c r="S22" s="6"/>
      <c r="T22" s="57"/>
      <c r="U22" s="6"/>
      <c r="V22" s="14"/>
      <c r="X22" s="532"/>
      <c r="Y22" s="532"/>
      <c r="Z22" s="532"/>
      <c r="AA22" s="532"/>
      <c r="AB22" s="532"/>
      <c r="AC22" s="532"/>
      <c r="AD22" s="532"/>
      <c r="AE22" s="532"/>
      <c r="AF22" s="532"/>
      <c r="AG22" s="532"/>
      <c r="AH22" s="532"/>
      <c r="AI22" s="532"/>
      <c r="AJ22" s="532"/>
      <c r="AK22" s="532"/>
      <c r="AL22" s="532"/>
    </row>
    <row r="23" spans="2:38" ht="12.75" x14ac:dyDescent="0.2">
      <c r="B23" s="6"/>
      <c r="C23" s="40" t="s">
        <v>121</v>
      </c>
      <c r="D23" s="6"/>
      <c r="E23" s="34"/>
      <c r="F23" s="6"/>
      <c r="G23" s="7"/>
      <c r="H23" s="6"/>
      <c r="I23" s="57"/>
      <c r="J23" s="6"/>
      <c r="K23" s="107">
        <f>SUM(K24:K27)</f>
        <v>76.11</v>
      </c>
      <c r="L23" s="188"/>
      <c r="M23" s="6"/>
      <c r="N23" s="40" t="s">
        <v>121</v>
      </c>
      <c r="O23" s="6"/>
      <c r="P23" s="34"/>
      <c r="Q23" s="6"/>
      <c r="R23" s="7"/>
      <c r="S23" s="6"/>
      <c r="T23" s="57"/>
      <c r="U23" s="6"/>
      <c r="V23" s="107">
        <f>SUM(V24:V27)</f>
        <v>0</v>
      </c>
      <c r="X23" s="532"/>
      <c r="Y23" s="532"/>
      <c r="Z23" s="532"/>
      <c r="AA23" s="532"/>
      <c r="AB23" s="532"/>
      <c r="AC23" s="532"/>
      <c r="AD23" s="532"/>
      <c r="AE23" s="532"/>
      <c r="AF23" s="532"/>
      <c r="AG23" s="532"/>
      <c r="AH23" s="532"/>
      <c r="AI23" s="532"/>
      <c r="AJ23" s="532"/>
      <c r="AK23" s="532"/>
      <c r="AL23" s="532"/>
    </row>
    <row r="24" spans="2:38" ht="12.75" x14ac:dyDescent="0.2">
      <c r="B24" s="6"/>
      <c r="C24" s="43" t="s">
        <v>124</v>
      </c>
      <c r="D24" s="6"/>
      <c r="E24" s="114">
        <v>77</v>
      </c>
      <c r="F24" s="6"/>
      <c r="G24" s="16" t="s">
        <v>62</v>
      </c>
      <c r="H24" s="6"/>
      <c r="I24" s="111">
        <f>Nitrogen</f>
        <v>0.77</v>
      </c>
      <c r="J24" s="6"/>
      <c r="K24" s="17">
        <f>E24*I24</f>
        <v>59.29</v>
      </c>
      <c r="L24" s="189"/>
      <c r="M24" s="6"/>
      <c r="N24" s="43" t="s">
        <v>124</v>
      </c>
      <c r="O24" s="6"/>
      <c r="P24" s="114">
        <v>0</v>
      </c>
      <c r="Q24" s="6"/>
      <c r="R24" s="16" t="s">
        <v>62</v>
      </c>
      <c r="S24" s="6"/>
      <c r="T24" s="111">
        <f>Nitrogen</f>
        <v>0.77</v>
      </c>
      <c r="U24" s="6"/>
      <c r="V24" s="17">
        <f>P24*T24</f>
        <v>0</v>
      </c>
      <c r="X24" s="532"/>
      <c r="Y24" s="532"/>
      <c r="Z24" s="532"/>
      <c r="AA24" s="532"/>
      <c r="AB24" s="532"/>
      <c r="AC24" s="532"/>
      <c r="AD24" s="532"/>
      <c r="AE24" s="532"/>
      <c r="AF24" s="532"/>
      <c r="AG24" s="532"/>
      <c r="AH24" s="532"/>
      <c r="AI24" s="532"/>
      <c r="AJ24" s="532"/>
      <c r="AK24" s="532"/>
      <c r="AL24" s="532"/>
    </row>
    <row r="25" spans="2:38" ht="12.75" x14ac:dyDescent="0.2">
      <c r="B25" s="6"/>
      <c r="C25" s="43" t="s">
        <v>427</v>
      </c>
      <c r="D25" s="6"/>
      <c r="E25" s="114">
        <v>17</v>
      </c>
      <c r="F25" s="6"/>
      <c r="G25" s="16" t="s">
        <v>62</v>
      </c>
      <c r="H25" s="6"/>
      <c r="I25" s="111">
        <f>Phosphorous</f>
        <v>0.66</v>
      </c>
      <c r="J25" s="6"/>
      <c r="K25" s="17">
        <f>E25*I25</f>
        <v>11.22</v>
      </c>
      <c r="L25" s="188"/>
      <c r="M25" s="6"/>
      <c r="N25" s="43" t="s">
        <v>131</v>
      </c>
      <c r="O25" s="6"/>
      <c r="P25" s="114">
        <v>0</v>
      </c>
      <c r="Q25" s="6"/>
      <c r="R25" s="16" t="s">
        <v>62</v>
      </c>
      <c r="S25" s="6"/>
      <c r="T25" s="111">
        <f>Sulfur</f>
        <v>0.56000000000000005</v>
      </c>
      <c r="U25" s="6"/>
      <c r="V25" s="17">
        <f>P25*T25</f>
        <v>0</v>
      </c>
      <c r="X25" s="532"/>
      <c r="Y25" s="532"/>
      <c r="Z25" s="532"/>
      <c r="AA25" s="532"/>
      <c r="AB25" s="532"/>
      <c r="AC25" s="532"/>
      <c r="AD25" s="532"/>
      <c r="AE25" s="532"/>
      <c r="AF25" s="532"/>
      <c r="AG25" s="532"/>
      <c r="AH25" s="532"/>
      <c r="AI25" s="532"/>
      <c r="AJ25" s="532"/>
      <c r="AK25" s="532"/>
      <c r="AL25" s="532"/>
    </row>
    <row r="26" spans="2:38" ht="12.75" x14ac:dyDescent="0.2">
      <c r="B26" s="6"/>
      <c r="C26" s="43" t="s">
        <v>131</v>
      </c>
      <c r="D26" s="6"/>
      <c r="E26" s="114">
        <v>10</v>
      </c>
      <c r="F26" s="6"/>
      <c r="G26" s="16" t="s">
        <v>62</v>
      </c>
      <c r="H26" s="6"/>
      <c r="I26" s="111">
        <f>Sulfur</f>
        <v>0.56000000000000005</v>
      </c>
      <c r="J26" s="6"/>
      <c r="K26" s="17">
        <f>E26*I26</f>
        <v>5.6000000000000005</v>
      </c>
      <c r="L26" s="188"/>
      <c r="M26" s="6"/>
      <c r="N26" s="43"/>
      <c r="O26" s="6"/>
      <c r="P26" s="114"/>
      <c r="Q26" s="6"/>
      <c r="R26" s="104"/>
      <c r="S26" s="6"/>
      <c r="T26" s="111"/>
      <c r="U26" s="6"/>
      <c r="V26" s="17">
        <f>P26*T26</f>
        <v>0</v>
      </c>
      <c r="X26" s="532"/>
      <c r="Y26" s="532"/>
      <c r="Z26" s="532"/>
      <c r="AA26" s="532"/>
      <c r="AB26" s="532"/>
      <c r="AC26" s="532"/>
      <c r="AD26" s="532"/>
      <c r="AE26" s="532"/>
      <c r="AF26" s="532"/>
      <c r="AG26" s="532"/>
      <c r="AH26" s="532"/>
      <c r="AI26" s="532"/>
      <c r="AJ26" s="532"/>
      <c r="AK26" s="532"/>
      <c r="AL26" s="532"/>
    </row>
    <row r="27" spans="2:38" ht="12.75" x14ac:dyDescent="0.2">
      <c r="B27" s="6"/>
      <c r="C27" s="43"/>
      <c r="D27" s="6"/>
      <c r="E27" s="114"/>
      <c r="F27" s="6"/>
      <c r="G27" s="104"/>
      <c r="H27" s="6"/>
      <c r="I27" s="111"/>
      <c r="J27" s="6"/>
      <c r="K27" s="17">
        <f>E27*I27</f>
        <v>0</v>
      </c>
      <c r="L27" s="188"/>
      <c r="M27" s="6"/>
      <c r="N27" s="43"/>
      <c r="O27" s="6"/>
      <c r="P27" s="114"/>
      <c r="Q27" s="6"/>
      <c r="R27" s="104"/>
      <c r="S27" s="6"/>
      <c r="T27" s="111"/>
      <c r="U27" s="6"/>
      <c r="V27" s="17">
        <f>P27*T27</f>
        <v>0</v>
      </c>
      <c r="X27" s="532"/>
      <c r="Y27" s="532"/>
      <c r="Z27" s="532"/>
      <c r="AA27" s="532"/>
      <c r="AB27" s="532"/>
      <c r="AC27" s="532"/>
      <c r="AD27" s="532"/>
      <c r="AE27" s="532"/>
      <c r="AF27" s="532"/>
      <c r="AG27" s="532"/>
      <c r="AH27" s="532"/>
      <c r="AI27" s="532"/>
      <c r="AJ27" s="532"/>
      <c r="AK27" s="532"/>
      <c r="AL27" s="532"/>
    </row>
    <row r="28" spans="2:38" ht="4.5" customHeight="1" x14ac:dyDescent="0.2">
      <c r="B28" s="6"/>
      <c r="C28" s="6"/>
      <c r="D28" s="6"/>
      <c r="E28" s="34"/>
      <c r="F28" s="6"/>
      <c r="G28" s="7"/>
      <c r="H28" s="6"/>
      <c r="I28" s="49"/>
      <c r="J28" s="6"/>
      <c r="K28" s="17"/>
      <c r="L28" s="188"/>
      <c r="M28" s="6"/>
      <c r="N28" s="6"/>
      <c r="O28" s="6"/>
      <c r="P28" s="34"/>
      <c r="Q28" s="6"/>
      <c r="R28" s="7"/>
      <c r="S28" s="6"/>
      <c r="T28" s="49"/>
      <c r="U28" s="6"/>
      <c r="V28" s="17"/>
      <c r="X28" s="532"/>
      <c r="Y28" s="532"/>
      <c r="Z28" s="532"/>
      <c r="AA28" s="532"/>
      <c r="AB28" s="532"/>
      <c r="AC28" s="532"/>
      <c r="AD28" s="532"/>
      <c r="AE28" s="532"/>
      <c r="AF28" s="532"/>
      <c r="AG28" s="532"/>
      <c r="AH28" s="532"/>
      <c r="AI28" s="532"/>
      <c r="AJ28" s="532"/>
      <c r="AK28" s="532"/>
      <c r="AL28" s="532"/>
    </row>
    <row r="29" spans="2:38" ht="12.75" x14ac:dyDescent="0.2">
      <c r="B29" s="6"/>
      <c r="C29" s="40" t="s">
        <v>56</v>
      </c>
      <c r="D29" s="6"/>
      <c r="E29" s="34"/>
      <c r="F29" s="6"/>
      <c r="G29" s="7"/>
      <c r="H29" s="6"/>
      <c r="I29" s="49"/>
      <c r="J29" s="6"/>
      <c r="K29" s="106">
        <f>SUM(K30:K36)</f>
        <v>7.8340000000000014</v>
      </c>
      <c r="L29" s="188"/>
      <c r="M29" s="6"/>
      <c r="N29" s="40" t="s">
        <v>56</v>
      </c>
      <c r="O29" s="6"/>
      <c r="P29" s="34"/>
      <c r="Q29" s="6"/>
      <c r="R29" s="7"/>
      <c r="S29" s="6"/>
      <c r="T29" s="49"/>
      <c r="U29" s="6"/>
      <c r="V29" s="106">
        <f>SUM(V30:V36)</f>
        <v>68.051000000000002</v>
      </c>
      <c r="X29" s="532"/>
      <c r="Y29" s="532"/>
      <c r="Z29" s="532"/>
      <c r="AA29" s="532"/>
      <c r="AB29" s="532"/>
      <c r="AC29" s="532"/>
      <c r="AD29" s="532"/>
      <c r="AE29" s="532"/>
      <c r="AF29" s="532"/>
      <c r="AG29" s="532"/>
      <c r="AH29" s="532"/>
      <c r="AI29" s="532"/>
      <c r="AJ29" s="532"/>
      <c r="AK29" s="532"/>
      <c r="AL29" s="532"/>
    </row>
    <row r="30" spans="2:38" ht="12.75" x14ac:dyDescent="0.2">
      <c r="B30" s="6"/>
      <c r="C30" s="43" t="s">
        <v>191</v>
      </c>
      <c r="D30" s="6"/>
      <c r="E30" s="112">
        <v>24</v>
      </c>
      <c r="F30" s="6"/>
      <c r="G30" s="104" t="s">
        <v>64</v>
      </c>
      <c r="H30" s="6"/>
      <c r="I30" s="111">
        <f>Glyphosphate</f>
        <v>0.2</v>
      </c>
      <c r="J30" s="6"/>
      <c r="K30" s="17">
        <f t="shared" ref="K30:K36" si="0">E30*I30</f>
        <v>4.8000000000000007</v>
      </c>
      <c r="L30" s="189"/>
      <c r="M30" s="6"/>
      <c r="N30" s="43" t="s">
        <v>565</v>
      </c>
      <c r="O30" s="6"/>
      <c r="P30" s="112">
        <v>10</v>
      </c>
      <c r="Q30" s="6"/>
      <c r="R30" s="104" t="s">
        <v>64</v>
      </c>
      <c r="S30" s="6"/>
      <c r="T30" s="111">
        <f>axiom</f>
        <v>2.14</v>
      </c>
      <c r="U30" s="6"/>
      <c r="V30" s="17">
        <f t="shared" ref="V30:V36" si="1">P30*T30</f>
        <v>21.400000000000002</v>
      </c>
      <c r="X30" s="136"/>
      <c r="Y30" s="532"/>
      <c r="Z30" s="532"/>
      <c r="AA30" s="532"/>
      <c r="AB30" s="532"/>
      <c r="AC30" s="532"/>
      <c r="AD30" s="532"/>
      <c r="AE30" s="532"/>
      <c r="AF30" s="532"/>
      <c r="AG30" s="532"/>
      <c r="AH30" s="532"/>
      <c r="AI30" s="532"/>
      <c r="AJ30" s="532"/>
      <c r="AK30" s="532"/>
      <c r="AL30" s="532"/>
    </row>
    <row r="31" spans="2:38" ht="12.75" x14ac:dyDescent="0.2">
      <c r="B31" s="6"/>
      <c r="C31" s="43" t="s">
        <v>370</v>
      </c>
      <c r="D31" s="6"/>
      <c r="E31" s="112">
        <v>4</v>
      </c>
      <c r="F31" s="6"/>
      <c r="G31" s="104" t="s">
        <v>64</v>
      </c>
      <c r="H31" s="6"/>
      <c r="I31" s="111">
        <f>Banvel</f>
        <v>0.57999999999999996</v>
      </c>
      <c r="J31" s="6"/>
      <c r="K31" s="17">
        <f t="shared" si="0"/>
        <v>2.3199999999999998</v>
      </c>
      <c r="L31" s="188"/>
      <c r="M31" s="6"/>
      <c r="N31" s="43" t="s">
        <v>94</v>
      </c>
      <c r="O31" s="6"/>
      <c r="P31" s="112">
        <v>4.75</v>
      </c>
      <c r="Q31" s="6"/>
      <c r="R31" s="104" t="s">
        <v>64</v>
      </c>
      <c r="S31" s="6"/>
      <c r="T31" s="111">
        <f>Osprey</f>
        <v>3.9</v>
      </c>
      <c r="U31" s="6"/>
      <c r="V31" s="17">
        <f t="shared" si="1"/>
        <v>18.524999999999999</v>
      </c>
      <c r="X31" s="136"/>
      <c r="Y31" s="532"/>
      <c r="Z31" s="532"/>
      <c r="AA31" s="532"/>
      <c r="AB31" s="532"/>
      <c r="AC31" s="532"/>
      <c r="AD31" s="532"/>
      <c r="AE31" s="532"/>
      <c r="AF31" s="532"/>
      <c r="AG31" s="532"/>
      <c r="AH31" s="532"/>
      <c r="AI31" s="532"/>
      <c r="AJ31" s="532"/>
      <c r="AK31" s="532"/>
      <c r="AL31" s="532"/>
    </row>
    <row r="32" spans="2:38" ht="12.75" x14ac:dyDescent="0.2">
      <c r="B32" s="6"/>
      <c r="C32" s="43" t="s">
        <v>571</v>
      </c>
      <c r="D32" s="6"/>
      <c r="E32" s="112">
        <v>1.7</v>
      </c>
      <c r="F32" s="6"/>
      <c r="G32" s="104" t="s">
        <v>62</v>
      </c>
      <c r="H32" s="6"/>
      <c r="I32" s="111">
        <f>AmSulf</f>
        <v>0.42</v>
      </c>
      <c r="J32" s="6"/>
      <c r="K32" s="17">
        <f>E32*I32</f>
        <v>0.71399999999999997</v>
      </c>
      <c r="L32" s="188"/>
      <c r="M32" s="6"/>
      <c r="N32" s="43" t="s">
        <v>571</v>
      </c>
      <c r="O32" s="6"/>
      <c r="P32" s="112">
        <v>1.5</v>
      </c>
      <c r="Q32" s="6"/>
      <c r="R32" s="104" t="s">
        <v>62</v>
      </c>
      <c r="S32" s="6"/>
      <c r="T32" s="111">
        <f>AmSulf</f>
        <v>0.42</v>
      </c>
      <c r="U32" s="6"/>
      <c r="V32" s="17">
        <f>P32*T32</f>
        <v>0.63</v>
      </c>
      <c r="X32" s="136"/>
      <c r="Y32" s="532"/>
      <c r="Z32" s="532"/>
      <c r="AA32" s="532"/>
      <c r="AB32" s="532"/>
      <c r="AC32" s="532"/>
      <c r="AD32" s="532"/>
      <c r="AE32" s="532"/>
      <c r="AF32" s="532"/>
      <c r="AG32" s="532"/>
      <c r="AH32" s="532"/>
      <c r="AI32" s="532"/>
      <c r="AJ32" s="532"/>
      <c r="AK32" s="532"/>
      <c r="AL32" s="532"/>
    </row>
    <row r="33" spans="1:38" ht="12.75" x14ac:dyDescent="0.2">
      <c r="A33" s="532"/>
      <c r="B33" s="6"/>
      <c r="C33" s="43"/>
      <c r="D33" s="6"/>
      <c r="E33" s="112"/>
      <c r="F33" s="6"/>
      <c r="G33" s="16"/>
      <c r="H33" s="6"/>
      <c r="I33" s="111"/>
      <c r="J33" s="6"/>
      <c r="K33" s="17">
        <f>E33*I33</f>
        <v>0</v>
      </c>
      <c r="L33" s="188"/>
      <c r="M33" s="6"/>
      <c r="N33" s="43" t="s">
        <v>572</v>
      </c>
      <c r="O33" s="6"/>
      <c r="P33" s="112">
        <v>6.4</v>
      </c>
      <c r="Q33" s="6"/>
      <c r="R33" s="104" t="s">
        <v>64</v>
      </c>
      <c r="S33" s="6"/>
      <c r="T33" s="111">
        <f>NIS</f>
        <v>0.14000000000000001</v>
      </c>
      <c r="U33" s="6"/>
      <c r="V33" s="17">
        <f>P33*T33</f>
        <v>0.89600000000000013</v>
      </c>
      <c r="X33" s="136"/>
      <c r="Y33" s="532"/>
      <c r="Z33" s="532"/>
      <c r="AA33" s="532"/>
      <c r="AB33" s="532"/>
      <c r="AC33" s="532"/>
      <c r="AD33" s="532"/>
      <c r="AE33" s="532"/>
      <c r="AF33" s="532"/>
      <c r="AG33" s="532"/>
      <c r="AH33" s="532"/>
      <c r="AI33" s="532"/>
      <c r="AJ33" s="532"/>
      <c r="AK33" s="532"/>
      <c r="AL33" s="532"/>
    </row>
    <row r="34" spans="1:38" ht="12.75" x14ac:dyDescent="0.2">
      <c r="B34" s="6"/>
      <c r="C34" s="43"/>
      <c r="D34" s="6"/>
      <c r="E34" s="112"/>
      <c r="F34" s="6"/>
      <c r="G34" s="16"/>
      <c r="H34" s="6"/>
      <c r="I34" s="111"/>
      <c r="J34" s="6"/>
      <c r="K34" s="17">
        <f t="shared" si="0"/>
        <v>0</v>
      </c>
      <c r="L34" s="188"/>
      <c r="M34" s="6"/>
      <c r="N34" s="43" t="s">
        <v>126</v>
      </c>
      <c r="O34" s="6"/>
      <c r="P34" s="112">
        <v>13.5</v>
      </c>
      <c r="Q34" s="6"/>
      <c r="R34" s="16" t="s">
        <v>64</v>
      </c>
      <c r="S34" s="6"/>
      <c r="T34" s="111">
        <f>Huskie</f>
        <v>0.88</v>
      </c>
      <c r="U34" s="6"/>
      <c r="V34" s="17">
        <f t="shared" si="1"/>
        <v>11.88</v>
      </c>
      <c r="X34" s="136"/>
      <c r="Y34" s="532"/>
      <c r="Z34" s="532"/>
      <c r="AA34" s="532"/>
      <c r="AB34" s="532"/>
      <c r="AC34" s="532"/>
      <c r="AD34" s="532"/>
      <c r="AE34" s="532"/>
      <c r="AF34" s="532"/>
      <c r="AG34" s="532"/>
      <c r="AH34" s="532"/>
      <c r="AI34" s="532"/>
      <c r="AJ34" s="532"/>
      <c r="AK34" s="532"/>
      <c r="AL34" s="532"/>
    </row>
    <row r="35" spans="1:38" ht="12.75" x14ac:dyDescent="0.2">
      <c r="B35" s="6"/>
      <c r="C35" s="43"/>
      <c r="D35" s="6"/>
      <c r="E35" s="112"/>
      <c r="F35" s="6"/>
      <c r="G35" s="16"/>
      <c r="H35" s="6"/>
      <c r="I35" s="111"/>
      <c r="J35" s="6"/>
      <c r="K35" s="17">
        <f t="shared" si="0"/>
        <v>0</v>
      </c>
      <c r="L35" s="188"/>
      <c r="M35" s="6"/>
      <c r="N35" s="43" t="s">
        <v>428</v>
      </c>
      <c r="O35" s="6"/>
      <c r="P35" s="112">
        <v>1</v>
      </c>
      <c r="Q35" s="6"/>
      <c r="R35" s="104" t="s">
        <v>98</v>
      </c>
      <c r="S35" s="6"/>
      <c r="T35" s="111">
        <f>MCPAe</f>
        <v>0.2</v>
      </c>
      <c r="U35" s="6"/>
      <c r="V35" s="17">
        <f t="shared" si="1"/>
        <v>0.2</v>
      </c>
      <c r="X35" s="532"/>
      <c r="Y35" s="532"/>
      <c r="Z35" s="532"/>
      <c r="AA35" s="532"/>
      <c r="AB35" s="532"/>
      <c r="AC35" s="532"/>
      <c r="AD35" s="532"/>
      <c r="AE35" s="532"/>
      <c r="AF35" s="532"/>
      <c r="AG35" s="532"/>
      <c r="AH35" s="532"/>
      <c r="AI35" s="532"/>
      <c r="AJ35" s="532"/>
      <c r="AK35" s="532"/>
      <c r="AL35" s="532"/>
    </row>
    <row r="36" spans="1:38" ht="12.75" x14ac:dyDescent="0.2">
      <c r="B36" s="6"/>
      <c r="C36" s="43"/>
      <c r="D36" s="6"/>
      <c r="E36" s="112"/>
      <c r="F36" s="6"/>
      <c r="G36" s="16"/>
      <c r="H36" s="6"/>
      <c r="I36" s="111"/>
      <c r="J36" s="6"/>
      <c r="K36" s="17">
        <f t="shared" si="0"/>
        <v>0</v>
      </c>
      <c r="L36" s="189"/>
      <c r="M36" s="6"/>
      <c r="N36" s="43" t="s">
        <v>127</v>
      </c>
      <c r="O36" s="6"/>
      <c r="P36" s="112">
        <v>4</v>
      </c>
      <c r="Q36" s="6"/>
      <c r="R36" s="16" t="s">
        <v>64</v>
      </c>
      <c r="S36" s="6"/>
      <c r="T36" s="111">
        <f>Tilt</f>
        <v>3.63</v>
      </c>
      <c r="U36" s="6"/>
      <c r="V36" s="17">
        <f t="shared" si="1"/>
        <v>14.52</v>
      </c>
      <c r="X36" s="532"/>
      <c r="Y36" s="532"/>
      <c r="Z36" s="532"/>
      <c r="AA36" s="532"/>
      <c r="AB36" s="532"/>
      <c r="AC36" s="532"/>
      <c r="AD36" s="532"/>
      <c r="AE36" s="532"/>
      <c r="AF36" s="532"/>
      <c r="AG36" s="532"/>
      <c r="AH36" s="532"/>
      <c r="AI36" s="532"/>
      <c r="AJ36" s="532"/>
      <c r="AK36" s="532"/>
      <c r="AL36" s="532"/>
    </row>
    <row r="37" spans="1:38" ht="6" customHeight="1" x14ac:dyDescent="0.2">
      <c r="B37" s="6"/>
      <c r="C37" s="6"/>
      <c r="D37" s="6"/>
      <c r="E37" s="47"/>
      <c r="F37" s="6"/>
      <c r="G37" s="7"/>
      <c r="H37" s="6"/>
      <c r="I37" s="49"/>
      <c r="J37" s="6"/>
      <c r="K37" s="17"/>
      <c r="L37" s="189"/>
      <c r="M37" s="6"/>
      <c r="N37" s="6"/>
      <c r="O37" s="6"/>
      <c r="P37" s="47"/>
      <c r="Q37" s="6"/>
      <c r="R37" s="7"/>
      <c r="S37" s="6"/>
      <c r="T37" s="49"/>
      <c r="U37" s="6"/>
      <c r="V37" s="17"/>
      <c r="X37" s="532"/>
      <c r="Y37" s="532"/>
      <c r="Z37" s="532"/>
      <c r="AA37" s="532"/>
      <c r="AB37" s="532"/>
      <c r="AC37" s="532"/>
      <c r="AD37" s="532"/>
      <c r="AE37" s="532"/>
      <c r="AF37" s="532"/>
      <c r="AG37" s="532"/>
      <c r="AH37" s="532"/>
      <c r="AI37" s="532"/>
      <c r="AJ37" s="532"/>
      <c r="AK37" s="532"/>
      <c r="AL37" s="532"/>
    </row>
    <row r="38" spans="1:38" ht="12.75" x14ac:dyDescent="0.2">
      <c r="B38" s="6"/>
      <c r="C38" s="40" t="s">
        <v>14</v>
      </c>
      <c r="D38" s="6"/>
      <c r="E38" s="59"/>
      <c r="F38" s="6"/>
      <c r="G38" s="7"/>
      <c r="H38" s="6"/>
      <c r="I38" s="49"/>
      <c r="J38" s="6"/>
      <c r="K38" s="106">
        <f>SUM(K40:K43)</f>
        <v>27.6</v>
      </c>
      <c r="L38" s="188"/>
      <c r="M38" s="6"/>
      <c r="N38" s="40" t="s">
        <v>14</v>
      </c>
      <c r="O38" s="6"/>
      <c r="P38" s="59"/>
      <c r="Q38" s="6"/>
      <c r="R38" s="7"/>
      <c r="S38" s="6"/>
      <c r="T38" s="49"/>
      <c r="U38" s="6"/>
      <c r="V38" s="106">
        <f>SUM(V40:V43)</f>
        <v>27.1981</v>
      </c>
      <c r="X38" s="532"/>
      <c r="Y38" s="532"/>
      <c r="Z38" s="532"/>
      <c r="AA38" s="532"/>
      <c r="AB38" s="532"/>
      <c r="AC38" s="532"/>
      <c r="AD38" s="532"/>
      <c r="AE38" s="532"/>
      <c r="AF38" s="532"/>
      <c r="AG38" s="532"/>
      <c r="AH38" s="532"/>
      <c r="AI38" s="532"/>
      <c r="AJ38" s="532"/>
      <c r="AK38" s="532"/>
      <c r="AL38" s="532"/>
    </row>
    <row r="39" spans="1:38" ht="12.75" x14ac:dyDescent="0.2">
      <c r="A39" s="532"/>
      <c r="B39" s="6"/>
      <c r="C39" s="591" t="s">
        <v>457</v>
      </c>
      <c r="D39" s="6"/>
      <c r="E39" s="59"/>
      <c r="F39" s="6"/>
      <c r="G39" s="7"/>
      <c r="H39" s="6"/>
      <c r="I39" s="49"/>
      <c r="J39" s="6"/>
      <c r="K39" s="106"/>
      <c r="L39" s="188"/>
      <c r="M39" s="6"/>
      <c r="N39" s="591" t="s">
        <v>457</v>
      </c>
      <c r="O39" s="6"/>
      <c r="P39" s="59"/>
      <c r="Q39" s="6"/>
      <c r="R39" s="7"/>
      <c r="S39" s="6"/>
      <c r="T39" s="49"/>
      <c r="U39" s="6"/>
      <c r="V39" s="106"/>
      <c r="X39" s="532"/>
      <c r="Y39" s="532"/>
      <c r="Z39" s="532"/>
      <c r="AA39" s="532"/>
      <c r="AB39" s="532"/>
      <c r="AC39" s="532"/>
      <c r="AD39" s="532"/>
      <c r="AE39" s="532"/>
      <c r="AF39" s="532"/>
      <c r="AG39" s="532"/>
      <c r="AH39" s="532"/>
      <c r="AI39" s="532"/>
      <c r="AJ39" s="532"/>
      <c r="AK39" s="532"/>
      <c r="AL39" s="532"/>
    </row>
    <row r="40" spans="1:38" ht="12.75" x14ac:dyDescent="0.2">
      <c r="A40" s="505"/>
      <c r="B40" s="6"/>
      <c r="C40" s="130" t="s">
        <v>102</v>
      </c>
      <c r="D40" s="6"/>
      <c r="E40" s="33">
        <v>1</v>
      </c>
      <c r="F40" s="6"/>
      <c r="G40" s="16" t="s">
        <v>63</v>
      </c>
      <c r="H40" s="6"/>
      <c r="I40" s="109">
        <f>'Machinery Costs'!K142</f>
        <v>11.549999999999999</v>
      </c>
      <c r="J40" s="6"/>
      <c r="K40" s="17">
        <f>E40*I40</f>
        <v>11.549999999999999</v>
      </c>
      <c r="L40" s="188"/>
      <c r="M40" s="6"/>
      <c r="N40" s="130" t="s">
        <v>102</v>
      </c>
      <c r="O40" s="6"/>
      <c r="P40" s="33">
        <v>1</v>
      </c>
      <c r="Q40" s="6"/>
      <c r="R40" s="16" t="s">
        <v>63</v>
      </c>
      <c r="S40" s="6"/>
      <c r="T40" s="109">
        <f>'Machinery Costs'!K170</f>
        <v>8.879999999999999</v>
      </c>
      <c r="U40" s="6"/>
      <c r="V40" s="17">
        <f>P40*T40</f>
        <v>8.879999999999999</v>
      </c>
      <c r="X40" s="136"/>
      <c r="Y40" s="532"/>
      <c r="Z40" s="532"/>
      <c r="AA40" s="532"/>
      <c r="AB40" s="532"/>
      <c r="AC40" s="532"/>
      <c r="AD40" s="532"/>
      <c r="AE40" s="532"/>
      <c r="AF40" s="532"/>
      <c r="AG40" s="532"/>
      <c r="AH40" s="532"/>
      <c r="AI40" s="532"/>
      <c r="AJ40" s="532"/>
      <c r="AK40" s="532"/>
      <c r="AL40" s="532"/>
    </row>
    <row r="41" spans="1:38" ht="12.75" x14ac:dyDescent="0.2">
      <c r="B41" s="6"/>
      <c r="C41" s="30" t="s">
        <v>103</v>
      </c>
      <c r="D41" s="6"/>
      <c r="E41" s="33">
        <v>1</v>
      </c>
      <c r="F41" s="6"/>
      <c r="G41" s="16" t="s">
        <v>63</v>
      </c>
      <c r="H41" s="6"/>
      <c r="I41" s="109">
        <f>'Machinery Costs'!I142</f>
        <v>1.7400000000000002</v>
      </c>
      <c r="J41" s="6"/>
      <c r="K41" s="17">
        <f>E41*I41</f>
        <v>1.7400000000000002</v>
      </c>
      <c r="L41" s="188"/>
      <c r="M41" s="6"/>
      <c r="N41" s="30" t="s">
        <v>103</v>
      </c>
      <c r="O41" s="6"/>
      <c r="P41" s="33">
        <v>1</v>
      </c>
      <c r="Q41" s="6"/>
      <c r="R41" s="16" t="s">
        <v>63</v>
      </c>
      <c r="S41" s="6"/>
      <c r="T41" s="109">
        <f>'Machinery Costs'!I170</f>
        <v>1.35</v>
      </c>
      <c r="U41" s="6"/>
      <c r="V41" s="17">
        <f>P41*T41</f>
        <v>1.35</v>
      </c>
      <c r="X41" s="136"/>
      <c r="Y41" s="532"/>
      <c r="Z41" s="532"/>
      <c r="AA41" s="532"/>
      <c r="AB41" s="532"/>
      <c r="AC41" s="532"/>
      <c r="AD41" s="532"/>
      <c r="AE41" s="532"/>
      <c r="AF41" s="532"/>
      <c r="AG41" s="532"/>
      <c r="AH41" s="532"/>
      <c r="AI41" s="532"/>
      <c r="AJ41" s="532"/>
      <c r="AK41" s="532"/>
      <c r="AL41" s="532"/>
    </row>
    <row r="42" spans="1:38" ht="12.75" x14ac:dyDescent="0.2">
      <c r="B42" s="6"/>
      <c r="C42" s="30" t="s">
        <v>25</v>
      </c>
      <c r="D42" s="6"/>
      <c r="E42" s="33">
        <v>1</v>
      </c>
      <c r="F42" s="6"/>
      <c r="G42" s="16" t="s">
        <v>63</v>
      </c>
      <c r="H42" s="6"/>
      <c r="I42" s="109">
        <f>'Machinery Costs'!H142</f>
        <v>4.71</v>
      </c>
      <c r="J42" s="6"/>
      <c r="K42" s="17">
        <f>E42*I42</f>
        <v>4.71</v>
      </c>
      <c r="L42" s="189"/>
      <c r="M42" s="6"/>
      <c r="N42" s="30" t="s">
        <v>25</v>
      </c>
      <c r="O42" s="6"/>
      <c r="P42" s="33">
        <v>1</v>
      </c>
      <c r="Q42" s="6"/>
      <c r="R42" s="16" t="s">
        <v>63</v>
      </c>
      <c r="S42" s="6"/>
      <c r="T42" s="109">
        <f>'Machinery Costs'!H170</f>
        <v>6.3681000000000001</v>
      </c>
      <c r="U42" s="6"/>
      <c r="V42" s="17">
        <f>P42*T42</f>
        <v>6.3681000000000001</v>
      </c>
      <c r="X42" s="136"/>
      <c r="Y42" s="532"/>
      <c r="Z42" s="532"/>
      <c r="AA42" s="532"/>
      <c r="AB42" s="532"/>
      <c r="AC42" s="532"/>
      <c r="AD42" s="532"/>
      <c r="AE42" s="532"/>
      <c r="AF42" s="532"/>
      <c r="AG42" s="532"/>
      <c r="AH42" s="532"/>
      <c r="AI42" s="532"/>
      <c r="AJ42" s="532"/>
      <c r="AK42" s="532"/>
      <c r="AL42" s="532"/>
    </row>
    <row r="43" spans="1:38" ht="12.75" x14ac:dyDescent="0.2">
      <c r="B43" s="6"/>
      <c r="C43" s="30" t="s">
        <v>54</v>
      </c>
      <c r="D43" s="6"/>
      <c r="E43" s="110">
        <f>'Machinery Costs'!L142</f>
        <v>0.48000000000000009</v>
      </c>
      <c r="F43" s="6"/>
      <c r="G43" s="104" t="s">
        <v>57</v>
      </c>
      <c r="H43" s="6"/>
      <c r="I43" s="111">
        <f>MachLabor</f>
        <v>20</v>
      </c>
      <c r="J43" s="6"/>
      <c r="K43" s="17">
        <f>E43*I43</f>
        <v>9.6000000000000014</v>
      </c>
      <c r="L43" s="188"/>
      <c r="M43" s="6"/>
      <c r="N43" s="30" t="s">
        <v>54</v>
      </c>
      <c r="O43" s="6"/>
      <c r="P43" s="110">
        <f>'Machinery Costs'!L170</f>
        <v>0.53</v>
      </c>
      <c r="Q43" s="6"/>
      <c r="R43" s="104" t="s">
        <v>57</v>
      </c>
      <c r="S43" s="6"/>
      <c r="T43" s="111">
        <f>MachLabor</f>
        <v>20</v>
      </c>
      <c r="U43" s="6"/>
      <c r="V43" s="17">
        <f>P43*T43</f>
        <v>10.600000000000001</v>
      </c>
      <c r="X43" s="136"/>
      <c r="Y43" s="532"/>
      <c r="Z43" s="532"/>
      <c r="AA43" s="532"/>
      <c r="AB43" s="532"/>
      <c r="AC43" s="532"/>
      <c r="AD43" s="532"/>
      <c r="AE43" s="532"/>
      <c r="AF43" s="532"/>
      <c r="AG43" s="532"/>
      <c r="AH43" s="532"/>
      <c r="AI43" s="532"/>
      <c r="AJ43" s="532"/>
      <c r="AK43" s="532"/>
      <c r="AL43" s="532"/>
    </row>
    <row r="44" spans="1:38" ht="6" customHeight="1" x14ac:dyDescent="0.2">
      <c r="B44" s="6"/>
      <c r="C44" s="40"/>
      <c r="D44" s="6"/>
      <c r="E44" s="59"/>
      <c r="F44" s="6"/>
      <c r="G44" s="7"/>
      <c r="H44" s="6"/>
      <c r="I44" s="49"/>
      <c r="J44" s="6"/>
      <c r="K44" s="106"/>
      <c r="L44" s="188"/>
      <c r="M44" s="6"/>
      <c r="N44" s="6"/>
      <c r="O44" s="6"/>
      <c r="P44" s="34"/>
      <c r="Q44" s="6"/>
      <c r="R44" s="7"/>
      <c r="S44" s="6"/>
      <c r="T44" s="49"/>
      <c r="U44" s="6"/>
      <c r="V44" s="17"/>
      <c r="X44" s="532"/>
      <c r="Y44" s="532"/>
      <c r="Z44" s="532"/>
      <c r="AA44" s="532"/>
      <c r="AB44" s="532"/>
      <c r="AC44" s="532"/>
      <c r="AD44" s="532"/>
      <c r="AE44" s="532"/>
      <c r="AF44" s="532"/>
      <c r="AG44" s="532"/>
      <c r="AH44" s="532"/>
      <c r="AI44" s="532"/>
      <c r="AJ44" s="532"/>
      <c r="AK44" s="532"/>
      <c r="AL44" s="532"/>
    </row>
    <row r="45" spans="1:38" ht="12.75" x14ac:dyDescent="0.2">
      <c r="B45" s="6"/>
      <c r="C45" s="40" t="s">
        <v>39</v>
      </c>
      <c r="D45" s="6"/>
      <c r="E45" s="59"/>
      <c r="F45" s="6"/>
      <c r="G45" s="7"/>
      <c r="H45" s="6"/>
      <c r="I45" s="49"/>
      <c r="J45" s="6"/>
      <c r="K45" s="106">
        <f>SUM(K46:K48)</f>
        <v>0</v>
      </c>
      <c r="L45" s="188"/>
      <c r="M45" s="6"/>
      <c r="N45" s="40" t="s">
        <v>39</v>
      </c>
      <c r="O45" s="6"/>
      <c r="P45" s="59"/>
      <c r="Q45" s="6"/>
      <c r="R45" s="7"/>
      <c r="S45" s="6"/>
      <c r="T45" s="49"/>
      <c r="U45" s="6"/>
      <c r="V45" s="106">
        <f>SUM(V46:V48)</f>
        <v>0</v>
      </c>
      <c r="X45" s="532"/>
      <c r="Y45" s="532"/>
      <c r="Z45" s="532"/>
      <c r="AA45" s="532"/>
      <c r="AB45" s="532"/>
      <c r="AC45" s="532"/>
      <c r="AD45" s="532"/>
      <c r="AE45" s="532"/>
      <c r="AF45" s="532"/>
      <c r="AG45" s="532"/>
      <c r="AH45" s="532"/>
      <c r="AI45" s="532"/>
      <c r="AJ45" s="532"/>
      <c r="AK45" s="532"/>
      <c r="AL45" s="532"/>
    </row>
    <row r="46" spans="1:38" ht="12.75" x14ac:dyDescent="0.2">
      <c r="B46" s="6"/>
      <c r="C46" s="15" t="s">
        <v>93</v>
      </c>
      <c r="D46" s="6"/>
      <c r="E46" s="114">
        <v>0</v>
      </c>
      <c r="F46" s="6"/>
      <c r="G46" s="16" t="s">
        <v>63</v>
      </c>
      <c r="H46" s="6"/>
      <c r="I46" s="111">
        <f>Sprayer</f>
        <v>2</v>
      </c>
      <c r="J46" s="6"/>
      <c r="K46" s="17">
        <f>E46*I46</f>
        <v>0</v>
      </c>
      <c r="L46" s="188"/>
      <c r="M46" s="6"/>
      <c r="N46" s="15" t="s">
        <v>93</v>
      </c>
      <c r="O46" s="6"/>
      <c r="P46" s="114">
        <v>0</v>
      </c>
      <c r="Q46" s="6"/>
      <c r="R46" s="16" t="s">
        <v>63</v>
      </c>
      <c r="S46" s="6"/>
      <c r="T46" s="111">
        <f>Sprayer</f>
        <v>2</v>
      </c>
      <c r="U46" s="6"/>
      <c r="V46" s="17">
        <f>P46*T46</f>
        <v>0</v>
      </c>
      <c r="X46" s="532"/>
      <c r="Y46" s="532"/>
      <c r="Z46" s="532"/>
      <c r="AA46" s="532"/>
      <c r="AB46" s="532"/>
      <c r="AC46" s="532"/>
      <c r="AD46" s="532"/>
      <c r="AE46" s="532"/>
      <c r="AF46" s="532"/>
      <c r="AG46" s="532"/>
      <c r="AH46" s="532"/>
      <c r="AI46" s="532"/>
      <c r="AJ46" s="532"/>
      <c r="AK46" s="532"/>
      <c r="AL46" s="532"/>
    </row>
    <row r="47" spans="1:38" ht="12.75" x14ac:dyDescent="0.2">
      <c r="B47" s="6"/>
      <c r="C47" s="15"/>
      <c r="D47" s="6"/>
      <c r="E47" s="131"/>
      <c r="F47" s="6"/>
      <c r="G47" s="16"/>
      <c r="H47" s="6"/>
      <c r="I47" s="132"/>
      <c r="J47" s="6"/>
      <c r="K47" s="17">
        <f>E47*I47</f>
        <v>0</v>
      </c>
      <c r="L47" s="190"/>
      <c r="M47" s="6"/>
      <c r="N47" s="15" t="s">
        <v>66</v>
      </c>
      <c r="O47" s="6"/>
      <c r="P47" s="114">
        <v>0</v>
      </c>
      <c r="Q47" s="6"/>
      <c r="R47" s="16" t="s">
        <v>63</v>
      </c>
      <c r="S47" s="6"/>
      <c r="T47" s="111">
        <f>Shooter</f>
        <v>2.5</v>
      </c>
      <c r="U47" s="6"/>
      <c r="V47" s="17">
        <f>P47*T47</f>
        <v>0</v>
      </c>
      <c r="X47" s="532"/>
      <c r="Y47" s="532"/>
      <c r="Z47" s="532"/>
      <c r="AA47" s="532"/>
      <c r="AB47" s="532"/>
      <c r="AC47" s="532"/>
      <c r="AD47" s="532"/>
      <c r="AE47" s="532"/>
      <c r="AF47" s="532"/>
      <c r="AG47" s="532"/>
      <c r="AH47" s="532"/>
      <c r="AI47" s="532"/>
      <c r="AJ47" s="532"/>
      <c r="AK47" s="532"/>
      <c r="AL47" s="532"/>
    </row>
    <row r="48" spans="1:38" ht="12.75" x14ac:dyDescent="0.2">
      <c r="B48" s="6"/>
      <c r="C48" s="15"/>
      <c r="D48" s="6"/>
      <c r="E48" s="131"/>
      <c r="F48" s="6"/>
      <c r="G48" s="16"/>
      <c r="H48" s="6"/>
      <c r="I48" s="132"/>
      <c r="J48" s="6"/>
      <c r="K48" s="17">
        <f>E48*I48</f>
        <v>0</v>
      </c>
      <c r="L48" s="190"/>
      <c r="M48" s="6"/>
      <c r="N48" s="43" t="s">
        <v>70</v>
      </c>
      <c r="O48" s="6"/>
      <c r="P48" s="114">
        <v>0</v>
      </c>
      <c r="Q48" s="6"/>
      <c r="R48" s="104" t="s">
        <v>63</v>
      </c>
      <c r="S48" s="6"/>
      <c r="T48" s="111">
        <f>Aerial</f>
        <v>8.6999999999999993</v>
      </c>
      <c r="U48" s="6"/>
      <c r="V48" s="17">
        <f>P48*T48</f>
        <v>0</v>
      </c>
      <c r="X48" s="532"/>
      <c r="Y48" s="532"/>
      <c r="Z48" s="532"/>
      <c r="AA48" s="532"/>
      <c r="AB48" s="532"/>
      <c r="AC48" s="532"/>
      <c r="AD48" s="532"/>
      <c r="AE48" s="532"/>
      <c r="AF48" s="532"/>
      <c r="AG48" s="532"/>
      <c r="AH48" s="532"/>
      <c r="AI48" s="532"/>
      <c r="AJ48" s="532"/>
      <c r="AK48" s="532"/>
      <c r="AL48" s="532"/>
    </row>
    <row r="49" spans="2:38" ht="8.25" customHeight="1" x14ac:dyDescent="0.2">
      <c r="B49" s="6"/>
      <c r="C49" s="40"/>
      <c r="D49" s="6"/>
      <c r="E49" s="34"/>
      <c r="F49" s="6"/>
      <c r="G49" s="7"/>
      <c r="H49" s="6"/>
      <c r="I49" s="49"/>
      <c r="J49" s="6"/>
      <c r="K49" s="106"/>
      <c r="L49" s="188"/>
      <c r="M49" s="6"/>
      <c r="N49" s="40"/>
      <c r="O49" s="6"/>
      <c r="P49" s="34"/>
      <c r="Q49" s="6"/>
      <c r="R49" s="7"/>
      <c r="S49" s="6"/>
      <c r="T49" s="49"/>
      <c r="U49" s="6"/>
      <c r="V49" s="106"/>
      <c r="X49" s="532"/>
      <c r="Y49" s="532"/>
      <c r="Z49" s="532"/>
      <c r="AA49" s="532"/>
      <c r="AB49" s="532"/>
      <c r="AC49" s="532"/>
      <c r="AD49" s="532"/>
      <c r="AE49" s="532"/>
      <c r="AF49" s="532"/>
      <c r="AG49" s="532"/>
      <c r="AH49" s="532"/>
      <c r="AI49" s="532"/>
      <c r="AJ49" s="532"/>
      <c r="AK49" s="532"/>
      <c r="AL49" s="532"/>
    </row>
    <row r="50" spans="2:38" ht="15.75" customHeight="1" x14ac:dyDescent="0.2">
      <c r="B50" s="6"/>
      <c r="C50" s="40"/>
      <c r="D50" s="6"/>
      <c r="E50" s="34"/>
      <c r="F50" s="6"/>
      <c r="G50" s="7"/>
      <c r="H50" s="6"/>
      <c r="I50" s="49"/>
      <c r="J50" s="6"/>
      <c r="K50" s="106"/>
      <c r="L50" s="188"/>
      <c r="M50" s="6"/>
      <c r="N50" s="40" t="s">
        <v>234</v>
      </c>
      <c r="O50" s="6"/>
      <c r="P50" s="34"/>
      <c r="Q50" s="6"/>
      <c r="R50" s="7"/>
      <c r="S50" s="6"/>
      <c r="T50" s="49"/>
      <c r="U50" s="6"/>
      <c r="V50" s="106">
        <f>SUM(V51:V61)</f>
        <v>19.491</v>
      </c>
      <c r="X50" s="532"/>
      <c r="Y50" s="532"/>
      <c r="Z50" s="532"/>
      <c r="AA50" s="532"/>
      <c r="AB50" s="532"/>
      <c r="AC50" s="532"/>
      <c r="AD50" s="532"/>
      <c r="AE50" s="532"/>
      <c r="AF50" s="532"/>
      <c r="AG50" s="532"/>
      <c r="AH50" s="532"/>
      <c r="AI50" s="532"/>
      <c r="AJ50" s="532"/>
      <c r="AK50" s="532"/>
      <c r="AL50" s="532"/>
    </row>
    <row r="51" spans="2:38" ht="3" customHeight="1" x14ac:dyDescent="0.2">
      <c r="B51" s="6"/>
      <c r="C51" s="40"/>
      <c r="D51" s="6"/>
      <c r="E51" s="34"/>
      <c r="F51" s="6"/>
      <c r="G51" s="7"/>
      <c r="H51" s="6"/>
      <c r="I51" s="49"/>
      <c r="J51" s="6"/>
      <c r="K51" s="106"/>
      <c r="L51" s="188"/>
      <c r="M51" s="6"/>
      <c r="N51" s="40"/>
      <c r="O51" s="6"/>
      <c r="P51" s="34"/>
      <c r="Q51" s="6"/>
      <c r="R51" s="7"/>
      <c r="S51" s="6"/>
      <c r="T51" s="49"/>
      <c r="U51" s="6"/>
      <c r="V51" s="209"/>
      <c r="X51" s="532"/>
      <c r="Y51" s="532"/>
      <c r="Z51" s="532"/>
      <c r="AA51" s="532"/>
      <c r="AB51" s="532"/>
      <c r="AC51" s="532"/>
      <c r="AD51" s="532"/>
      <c r="AE51" s="532"/>
      <c r="AF51" s="532"/>
      <c r="AG51" s="532"/>
      <c r="AH51" s="532"/>
      <c r="AI51" s="532"/>
      <c r="AJ51" s="532"/>
      <c r="AK51" s="532"/>
      <c r="AL51" s="532"/>
    </row>
    <row r="52" spans="2:38" ht="12.75" x14ac:dyDescent="0.2">
      <c r="B52" s="6"/>
      <c r="C52" s="40"/>
      <c r="D52" s="6"/>
      <c r="E52" s="34"/>
      <c r="F52" s="6"/>
      <c r="G52" s="7"/>
      <c r="H52" s="6"/>
      <c r="I52" s="49"/>
      <c r="J52" s="6"/>
      <c r="K52" s="106"/>
      <c r="L52" s="188"/>
      <c r="M52" s="6"/>
      <c r="N52" s="130" t="s">
        <v>231</v>
      </c>
      <c r="O52" s="6"/>
      <c r="P52" s="114">
        <v>0</v>
      </c>
      <c r="Q52" s="6"/>
      <c r="R52" s="104" t="s">
        <v>275</v>
      </c>
      <c r="S52" s="6"/>
      <c r="T52" s="248">
        <f>P54*(P55*P16)</f>
        <v>0.73</v>
      </c>
      <c r="U52" s="6"/>
      <c r="V52" s="209">
        <f>P52*T52</f>
        <v>0</v>
      </c>
      <c r="X52" s="532"/>
      <c r="Y52" s="532"/>
      <c r="Z52" s="532"/>
      <c r="AA52" s="532"/>
      <c r="AB52" s="532"/>
      <c r="AC52" s="532"/>
      <c r="AD52" s="532"/>
      <c r="AE52" s="532"/>
      <c r="AF52" s="532"/>
      <c r="AG52" s="532"/>
      <c r="AH52" s="532"/>
      <c r="AI52" s="532"/>
      <c r="AJ52" s="532"/>
      <c r="AK52" s="532"/>
      <c r="AL52" s="532"/>
    </row>
    <row r="53" spans="2:38" ht="12.75" x14ac:dyDescent="0.2">
      <c r="B53" s="6"/>
      <c r="C53" s="40"/>
      <c r="D53" s="6"/>
      <c r="E53" s="34"/>
      <c r="F53" s="6"/>
      <c r="G53" s="7"/>
      <c r="H53" s="6"/>
      <c r="I53" s="49"/>
      <c r="J53" s="6"/>
      <c r="K53" s="106"/>
      <c r="L53" s="188"/>
      <c r="M53" s="6"/>
      <c r="N53" s="56" t="s">
        <v>549</v>
      </c>
      <c r="O53" s="56"/>
      <c r="P53" s="6"/>
      <c r="Q53" s="61"/>
      <c r="R53" s="6"/>
      <c r="S53" s="61"/>
      <c r="T53" s="6"/>
      <c r="U53" s="61"/>
      <c r="V53" s="106"/>
      <c r="W53" s="106"/>
      <c r="X53" s="532"/>
      <c r="Y53" s="532"/>
      <c r="Z53" s="532"/>
      <c r="AA53" s="532"/>
      <c r="AB53" s="532"/>
      <c r="AC53" s="532"/>
      <c r="AD53" s="532"/>
      <c r="AE53" s="532"/>
      <c r="AF53" s="532"/>
      <c r="AG53" s="532"/>
      <c r="AH53" s="532"/>
      <c r="AI53" s="532"/>
      <c r="AJ53" s="532"/>
      <c r="AK53" s="532"/>
      <c r="AL53" s="532"/>
    </row>
    <row r="54" spans="2:38" ht="14.25" customHeight="1" x14ac:dyDescent="0.2">
      <c r="B54" s="6"/>
      <c r="C54" s="40"/>
      <c r="D54" s="6"/>
      <c r="E54" s="34"/>
      <c r="F54" s="6"/>
      <c r="G54" s="7"/>
      <c r="H54" s="6"/>
      <c r="I54" s="49"/>
      <c r="J54" s="6"/>
      <c r="K54" s="106"/>
      <c r="L54" s="188"/>
      <c r="M54" s="6"/>
      <c r="N54" s="243" t="s">
        <v>230</v>
      </c>
      <c r="O54" s="56"/>
      <c r="P54" s="111">
        <f>WheatStorage</f>
        <v>0.02</v>
      </c>
      <c r="Q54" s="61"/>
      <c r="R54" s="6"/>
      <c r="S54" s="61"/>
      <c r="T54" s="6"/>
      <c r="U54" s="61"/>
      <c r="V54" s="106"/>
      <c r="W54" s="106"/>
      <c r="X54" s="532"/>
      <c r="Y54" s="532"/>
      <c r="Z54" s="532"/>
      <c r="AA54" s="532"/>
      <c r="AB54" s="532"/>
      <c r="AC54" s="532"/>
      <c r="AD54" s="532"/>
      <c r="AE54" s="532"/>
      <c r="AF54" s="532"/>
      <c r="AG54" s="532"/>
      <c r="AH54" s="532"/>
      <c r="AI54" s="532"/>
      <c r="AJ54" s="532"/>
      <c r="AK54" s="532"/>
      <c r="AL54" s="532"/>
    </row>
    <row r="55" spans="2:38" ht="12.75" x14ac:dyDescent="0.2">
      <c r="B55" s="6"/>
      <c r="C55" s="40"/>
      <c r="D55" s="6"/>
      <c r="E55" s="34"/>
      <c r="F55" s="6"/>
      <c r="G55" s="7"/>
      <c r="H55" s="6"/>
      <c r="I55" s="49"/>
      <c r="J55" s="6"/>
      <c r="K55" s="106"/>
      <c r="L55" s="188"/>
      <c r="M55" s="6"/>
      <c r="N55" s="243" t="s">
        <v>229</v>
      </c>
      <c r="O55" s="6"/>
      <c r="P55" s="247">
        <v>0.5</v>
      </c>
      <c r="Q55" s="6"/>
      <c r="R55" s="61"/>
      <c r="S55" s="6"/>
      <c r="T55" s="61"/>
      <c r="U55" s="6"/>
      <c r="V55" s="106"/>
      <c r="X55" s="532"/>
      <c r="Y55" s="532"/>
      <c r="Z55" s="532"/>
      <c r="AA55" s="532"/>
      <c r="AB55" s="532"/>
      <c r="AC55" s="532"/>
      <c r="AD55" s="532"/>
      <c r="AE55" s="532"/>
      <c r="AF55" s="532"/>
      <c r="AG55" s="532"/>
      <c r="AH55" s="532"/>
      <c r="AI55" s="532"/>
      <c r="AJ55" s="532"/>
      <c r="AK55" s="532"/>
      <c r="AL55" s="532"/>
    </row>
    <row r="56" spans="2:38" ht="12.75" x14ac:dyDescent="0.2">
      <c r="B56" s="6"/>
      <c r="C56" s="40"/>
      <c r="D56" s="6"/>
      <c r="E56" s="34"/>
      <c r="F56" s="6"/>
      <c r="G56" s="7"/>
      <c r="H56" s="6"/>
      <c r="I56" s="49"/>
      <c r="J56" s="6"/>
      <c r="K56" s="106"/>
      <c r="L56" s="188"/>
      <c r="M56" s="6"/>
      <c r="N56" s="56"/>
      <c r="O56" s="6"/>
      <c r="P56" s="61"/>
      <c r="Q56" s="6"/>
      <c r="R56" s="61"/>
      <c r="S56" s="6"/>
      <c r="T56" s="61"/>
      <c r="U56" s="6"/>
      <c r="V56" s="106"/>
      <c r="X56" s="532"/>
      <c r="Y56" s="532"/>
      <c r="Z56" s="532"/>
      <c r="AA56" s="532"/>
      <c r="AB56" s="532"/>
      <c r="AC56" s="532"/>
      <c r="AD56" s="532"/>
      <c r="AE56" s="532"/>
      <c r="AF56" s="532"/>
      <c r="AG56" s="532"/>
      <c r="AH56" s="532"/>
      <c r="AI56" s="532"/>
      <c r="AJ56" s="532"/>
      <c r="AK56" s="532"/>
      <c r="AL56" s="532"/>
    </row>
    <row r="57" spans="2:38" ht="12.75" x14ac:dyDescent="0.2">
      <c r="B57" s="6"/>
      <c r="C57" s="40"/>
      <c r="D57" s="6"/>
      <c r="E57" s="34"/>
      <c r="F57" s="6"/>
      <c r="G57" s="7"/>
      <c r="H57" s="6"/>
      <c r="I57" s="49"/>
      <c r="J57" s="6"/>
      <c r="K57" s="106"/>
      <c r="L57" s="188"/>
      <c r="M57" s="6"/>
      <c r="N57" s="130" t="s">
        <v>548</v>
      </c>
      <c r="O57" s="6"/>
      <c r="P57" s="244">
        <f>P16</f>
        <v>73</v>
      </c>
      <c r="Q57" s="6"/>
      <c r="R57" s="104" t="s">
        <v>91</v>
      </c>
      <c r="S57" s="6"/>
      <c r="T57" s="248">
        <f>(P59*P60)/P61</f>
        <v>0.26700000000000002</v>
      </c>
      <c r="U57" s="6"/>
      <c r="V57" s="209">
        <f>P57*T57</f>
        <v>19.491</v>
      </c>
      <c r="X57" s="532"/>
      <c r="Y57" s="532"/>
      <c r="Z57" s="532"/>
      <c r="AA57" s="532"/>
      <c r="AB57" s="532"/>
      <c r="AC57" s="532"/>
      <c r="AD57" s="532"/>
      <c r="AE57" s="532"/>
      <c r="AF57" s="532"/>
      <c r="AG57" s="532"/>
      <c r="AH57" s="532"/>
      <c r="AI57" s="532"/>
      <c r="AJ57" s="532"/>
      <c r="AK57" s="532"/>
      <c r="AL57" s="532"/>
    </row>
    <row r="58" spans="2:38" ht="12" customHeight="1" x14ac:dyDescent="0.2">
      <c r="B58" s="6"/>
      <c r="C58" s="40"/>
      <c r="D58" s="6"/>
      <c r="E58" s="34"/>
      <c r="F58" s="6"/>
      <c r="G58" s="7"/>
      <c r="H58" s="6"/>
      <c r="I58" s="49"/>
      <c r="J58" s="6"/>
      <c r="K58" s="106"/>
      <c r="L58" s="188"/>
      <c r="M58" s="6"/>
      <c r="N58" s="56" t="s">
        <v>550</v>
      </c>
      <c r="O58" s="6"/>
      <c r="P58" s="61"/>
      <c r="Q58" s="6"/>
      <c r="R58" s="61"/>
      <c r="S58" s="6"/>
      <c r="T58" s="61"/>
      <c r="U58" s="6"/>
      <c r="V58" s="106"/>
      <c r="X58" s="532"/>
      <c r="Y58" s="532"/>
      <c r="Z58" s="532"/>
      <c r="AA58" s="532"/>
      <c r="AB58" s="532"/>
      <c r="AC58" s="532"/>
      <c r="AD58" s="532"/>
      <c r="AE58" s="532"/>
      <c r="AF58" s="532"/>
      <c r="AG58" s="532"/>
      <c r="AH58" s="532"/>
      <c r="AI58" s="532"/>
      <c r="AJ58" s="532"/>
      <c r="AK58" s="532"/>
      <c r="AL58" s="532"/>
    </row>
    <row r="59" spans="2:38" ht="12" customHeight="1" x14ac:dyDescent="0.2">
      <c r="B59" s="6"/>
      <c r="C59" s="40"/>
      <c r="D59" s="6"/>
      <c r="E59" s="34"/>
      <c r="F59" s="6"/>
      <c r="G59" s="7"/>
      <c r="H59" s="6"/>
      <c r="I59" s="49"/>
      <c r="J59" s="6"/>
      <c r="K59" s="106"/>
      <c r="L59" s="188"/>
      <c r="M59" s="6"/>
      <c r="N59" s="243" t="s">
        <v>216</v>
      </c>
      <c r="O59" s="6"/>
      <c r="P59" s="114">
        <v>100</v>
      </c>
      <c r="Q59" s="6"/>
      <c r="R59" s="61"/>
      <c r="S59" s="6"/>
      <c r="T59" s="61"/>
      <c r="U59" s="6"/>
      <c r="V59" s="106"/>
      <c r="X59" s="532"/>
      <c r="Y59" s="532"/>
      <c r="Z59" s="532"/>
      <c r="AA59" s="532"/>
      <c r="AB59" s="532"/>
      <c r="AC59" s="532"/>
      <c r="AD59" s="532"/>
      <c r="AE59" s="532"/>
      <c r="AF59" s="532"/>
      <c r="AG59" s="532"/>
      <c r="AH59" s="532"/>
      <c r="AI59" s="532"/>
      <c r="AJ59" s="532"/>
      <c r="AK59" s="532"/>
      <c r="AL59" s="532"/>
    </row>
    <row r="60" spans="2:38" ht="12" customHeight="1" x14ac:dyDescent="0.2">
      <c r="B60" s="6"/>
      <c r="C60" s="40"/>
      <c r="D60" s="6"/>
      <c r="E60" s="34"/>
      <c r="F60" s="6"/>
      <c r="G60" s="7"/>
      <c r="H60" s="6"/>
      <c r="I60" s="49"/>
      <c r="J60" s="6"/>
      <c r="K60" s="106"/>
      <c r="L60" s="188"/>
      <c r="M60" s="6"/>
      <c r="N60" s="243" t="s">
        <v>215</v>
      </c>
      <c r="O60" s="6"/>
      <c r="P60" s="245">
        <v>2.67</v>
      </c>
      <c r="Q60" s="6"/>
      <c r="R60" s="61"/>
      <c r="S60" s="6"/>
      <c r="T60" s="61"/>
      <c r="U60" s="6"/>
      <c r="V60" s="106"/>
      <c r="X60" s="532"/>
      <c r="Y60" s="532"/>
      <c r="Z60" s="532"/>
      <c r="AA60" s="532"/>
      <c r="AB60" s="532"/>
      <c r="AC60" s="532"/>
      <c r="AD60" s="532"/>
      <c r="AE60" s="532"/>
      <c r="AF60" s="532"/>
      <c r="AG60" s="532"/>
      <c r="AH60" s="532"/>
      <c r="AI60" s="532"/>
      <c r="AJ60" s="532"/>
      <c r="AK60" s="532"/>
      <c r="AL60" s="532"/>
    </row>
    <row r="61" spans="2:38" ht="12" customHeight="1" x14ac:dyDescent="0.2">
      <c r="B61" s="6"/>
      <c r="C61" s="40"/>
      <c r="D61" s="6"/>
      <c r="E61" s="34"/>
      <c r="F61" s="6"/>
      <c r="G61" s="7"/>
      <c r="H61" s="6"/>
      <c r="I61" s="49"/>
      <c r="J61" s="6"/>
      <c r="K61" s="106"/>
      <c r="L61" s="188"/>
      <c r="M61" s="6"/>
      <c r="N61" s="243" t="s">
        <v>220</v>
      </c>
      <c r="O61" s="6"/>
      <c r="P61" s="114">
        <v>1000</v>
      </c>
      <c r="Q61" s="6"/>
      <c r="R61" s="61"/>
      <c r="S61" s="6"/>
      <c r="T61" s="61"/>
      <c r="U61" s="6"/>
      <c r="V61" s="106"/>
      <c r="X61" s="532"/>
      <c r="Y61" s="532"/>
      <c r="Z61" s="532"/>
      <c r="AA61" s="532"/>
      <c r="AB61" s="532"/>
      <c r="AC61" s="532"/>
      <c r="AD61" s="532"/>
      <c r="AE61" s="532"/>
      <c r="AF61" s="532"/>
      <c r="AG61" s="532"/>
      <c r="AH61" s="532"/>
      <c r="AI61" s="532"/>
      <c r="AJ61" s="532"/>
      <c r="AK61" s="532"/>
      <c r="AL61" s="532"/>
    </row>
    <row r="62" spans="2:38" ht="12" customHeight="1" x14ac:dyDescent="0.2">
      <c r="B62" s="6"/>
      <c r="C62" s="40"/>
      <c r="D62" s="6"/>
      <c r="E62" s="34"/>
      <c r="F62" s="6"/>
      <c r="G62" s="7"/>
      <c r="H62" s="6"/>
      <c r="I62" s="49"/>
      <c r="J62" s="6"/>
      <c r="K62" s="106"/>
      <c r="L62" s="188"/>
      <c r="M62" s="6"/>
      <c r="N62" s="40"/>
      <c r="O62" s="6"/>
      <c r="P62" s="61"/>
      <c r="Q62" s="6"/>
      <c r="R62" s="61"/>
      <c r="S62" s="6"/>
      <c r="T62" s="61"/>
      <c r="U62" s="6"/>
      <c r="V62" s="106"/>
      <c r="X62" s="532"/>
      <c r="Y62" s="532"/>
      <c r="Z62" s="532"/>
      <c r="AA62" s="532"/>
      <c r="AB62" s="532"/>
      <c r="AC62" s="532"/>
      <c r="AD62" s="532"/>
      <c r="AE62" s="532"/>
      <c r="AF62" s="532"/>
      <c r="AG62" s="532"/>
      <c r="AH62" s="532"/>
      <c r="AI62" s="532"/>
      <c r="AJ62" s="532"/>
      <c r="AK62" s="532"/>
      <c r="AL62" s="532"/>
    </row>
    <row r="63" spans="2:38" ht="12.75" x14ac:dyDescent="0.2">
      <c r="B63" s="6"/>
      <c r="C63" s="40" t="s">
        <v>40</v>
      </c>
      <c r="D63" s="6"/>
      <c r="E63" s="34"/>
      <c r="F63" s="6"/>
      <c r="G63" s="7"/>
      <c r="H63" s="6"/>
      <c r="I63" s="49"/>
      <c r="J63" s="6"/>
      <c r="K63" s="106">
        <f>SUM(K64:K66)</f>
        <v>0</v>
      </c>
      <c r="L63" s="188"/>
      <c r="M63" s="6"/>
      <c r="N63" s="40" t="s">
        <v>40</v>
      </c>
      <c r="O63" s="6"/>
      <c r="P63" s="34"/>
      <c r="Q63" s="6"/>
      <c r="R63" s="7"/>
      <c r="S63" s="6"/>
      <c r="T63" s="49"/>
      <c r="U63" s="6"/>
      <c r="V63" s="106">
        <f>SUM(V64:V66)</f>
        <v>18.600000000000001</v>
      </c>
      <c r="X63" s="532"/>
      <c r="Y63" s="532"/>
      <c r="Z63" s="532"/>
      <c r="AA63" s="532"/>
      <c r="AB63" s="532"/>
      <c r="AC63" s="532"/>
      <c r="AD63" s="532"/>
      <c r="AE63" s="532"/>
      <c r="AF63" s="532"/>
      <c r="AG63" s="532"/>
      <c r="AH63" s="532"/>
      <c r="AI63" s="532"/>
      <c r="AJ63" s="532"/>
      <c r="AK63" s="532"/>
      <c r="AL63" s="532"/>
    </row>
    <row r="64" spans="2:38" ht="12.75" x14ac:dyDescent="0.2">
      <c r="B64" s="6"/>
      <c r="C64" s="15"/>
      <c r="D64" s="6"/>
      <c r="E64" s="33"/>
      <c r="F64" s="6"/>
      <c r="G64" s="16"/>
      <c r="H64" s="6"/>
      <c r="I64" s="133"/>
      <c r="J64" s="6"/>
      <c r="K64" s="17">
        <f>E64*I64</f>
        <v>0</v>
      </c>
      <c r="L64" s="188"/>
      <c r="M64" s="6"/>
      <c r="N64" s="15" t="s">
        <v>65</v>
      </c>
      <c r="O64" s="6"/>
      <c r="P64" s="33">
        <v>1</v>
      </c>
      <c r="Q64" s="6"/>
      <c r="R64" s="16" t="s">
        <v>63</v>
      </c>
      <c r="S64" s="6"/>
      <c r="T64" s="111">
        <f>ciHRWW</f>
        <v>18.600000000000001</v>
      </c>
      <c r="U64" s="6"/>
      <c r="V64" s="17">
        <f>P64*T64</f>
        <v>18.600000000000001</v>
      </c>
      <c r="X64" s="532"/>
      <c r="Y64" s="532"/>
      <c r="Z64" s="532"/>
      <c r="AA64" s="532"/>
      <c r="AB64" s="532"/>
      <c r="AC64" s="532"/>
      <c r="AD64" s="532"/>
      <c r="AE64" s="532"/>
      <c r="AF64" s="532"/>
      <c r="AG64" s="532"/>
      <c r="AH64" s="532"/>
      <c r="AI64" s="532"/>
      <c r="AJ64" s="532"/>
      <c r="AK64" s="532"/>
      <c r="AL64" s="532"/>
    </row>
    <row r="65" spans="1:38" ht="12.75" x14ac:dyDescent="0.2">
      <c r="B65" s="6"/>
      <c r="C65" s="15"/>
      <c r="D65" s="6"/>
      <c r="E65" s="33"/>
      <c r="F65" s="6"/>
      <c r="G65" s="16"/>
      <c r="H65" s="6"/>
      <c r="I65" s="133"/>
      <c r="J65" s="6"/>
      <c r="K65" s="17">
        <f>E65*I65</f>
        <v>0</v>
      </c>
      <c r="L65" s="188"/>
      <c r="M65" s="6"/>
      <c r="N65" s="30" t="s">
        <v>53</v>
      </c>
      <c r="O65" s="6"/>
      <c r="P65" s="33"/>
      <c r="Q65" s="6"/>
      <c r="R65" s="16"/>
      <c r="S65" s="6"/>
      <c r="T65" s="35"/>
      <c r="U65" s="6"/>
      <c r="V65" s="17">
        <f>P65*T65</f>
        <v>0</v>
      </c>
      <c r="X65" s="532"/>
      <c r="Y65" s="532"/>
      <c r="Z65" s="532"/>
      <c r="AA65" s="532"/>
      <c r="AB65" s="532"/>
      <c r="AC65" s="532"/>
      <c r="AD65" s="532"/>
      <c r="AE65" s="532"/>
      <c r="AF65" s="532"/>
      <c r="AG65" s="532"/>
      <c r="AH65" s="532"/>
      <c r="AI65" s="532"/>
      <c r="AJ65" s="532"/>
      <c r="AK65" s="532"/>
      <c r="AL65" s="532"/>
    </row>
    <row r="66" spans="1:38" ht="12.75" x14ac:dyDescent="0.2">
      <c r="B66" s="6"/>
      <c r="C66" s="15"/>
      <c r="D66" s="6"/>
      <c r="E66" s="33"/>
      <c r="F66" s="6"/>
      <c r="G66" s="16"/>
      <c r="H66" s="6"/>
      <c r="I66" s="133"/>
      <c r="J66" s="6"/>
      <c r="K66" s="17">
        <f>E66*I66</f>
        <v>0</v>
      </c>
      <c r="L66" s="188"/>
      <c r="M66" s="6"/>
      <c r="N66" s="30" t="s">
        <v>86</v>
      </c>
      <c r="O66" s="6"/>
      <c r="P66" s="33"/>
      <c r="Q66" s="6"/>
      <c r="R66" s="104"/>
      <c r="S66" s="6"/>
      <c r="T66" s="35"/>
      <c r="U66" s="6"/>
      <c r="V66" s="17">
        <f>P66*T66</f>
        <v>0</v>
      </c>
      <c r="X66" s="532"/>
      <c r="Y66" s="532"/>
      <c r="Z66" s="532"/>
      <c r="AA66" s="532"/>
      <c r="AB66" s="532"/>
      <c r="AC66" s="532"/>
      <c r="AD66" s="532"/>
      <c r="AE66" s="532"/>
      <c r="AF66" s="532"/>
      <c r="AG66" s="532"/>
      <c r="AH66" s="532"/>
      <c r="AI66" s="532"/>
      <c r="AJ66" s="532"/>
      <c r="AK66" s="532"/>
      <c r="AL66" s="532"/>
    </row>
    <row r="67" spans="1:38" ht="12.75" x14ac:dyDescent="0.2">
      <c r="B67" s="6"/>
      <c r="C67" s="6"/>
      <c r="D67" s="6"/>
      <c r="E67" s="34"/>
      <c r="F67" s="6"/>
      <c r="G67" s="7"/>
      <c r="H67" s="6"/>
      <c r="I67" s="34"/>
      <c r="J67" s="6"/>
      <c r="K67" s="17"/>
      <c r="L67" s="188"/>
      <c r="M67" s="6"/>
      <c r="N67" s="6"/>
      <c r="O67" s="6"/>
      <c r="P67" s="34"/>
      <c r="Q67" s="6"/>
      <c r="R67" s="7"/>
      <c r="S67" s="6"/>
      <c r="T67" s="34"/>
      <c r="U67" s="6"/>
      <c r="V67" s="17"/>
      <c r="X67" s="532"/>
      <c r="Y67" s="532"/>
      <c r="Z67" s="532"/>
      <c r="AA67" s="532"/>
      <c r="AB67" s="532"/>
      <c r="AC67" s="532"/>
      <c r="AD67" s="532"/>
      <c r="AE67" s="532"/>
      <c r="AF67" s="532"/>
      <c r="AG67" s="532"/>
      <c r="AH67" s="532"/>
      <c r="AI67" s="532"/>
      <c r="AJ67" s="532"/>
      <c r="AK67" s="532"/>
      <c r="AL67" s="532"/>
    </row>
    <row r="68" spans="1:38" ht="14.25" x14ac:dyDescent="0.2">
      <c r="B68" s="6"/>
      <c r="C68" s="56" t="s">
        <v>117</v>
      </c>
      <c r="D68" s="6"/>
      <c r="E68" s="34"/>
      <c r="F68" s="6"/>
      <c r="G68" s="7"/>
      <c r="H68" s="6"/>
      <c r="I68" s="34"/>
      <c r="J68" s="6"/>
      <c r="K68" s="17">
        <f>+(K23+K29+K38+K45+K63)*Operloan*0.75</f>
        <v>4.8103350000000002</v>
      </c>
      <c r="L68" s="188"/>
      <c r="M68" s="6"/>
      <c r="N68" s="56" t="s">
        <v>235</v>
      </c>
      <c r="O68" s="6"/>
      <c r="P68" s="34"/>
      <c r="Q68" s="6"/>
      <c r="R68" s="7"/>
      <c r="S68" s="6"/>
      <c r="T68" s="34"/>
      <c r="U68" s="6"/>
      <c r="V68" s="17">
        <f>+(V20+V23+V29+V38+V45+V50+V63)*Operloan*0.75</f>
        <v>6.5782918124999998</v>
      </c>
      <c r="X68" s="532"/>
      <c r="Y68" s="532"/>
      <c r="Z68" s="532"/>
      <c r="AA68" s="532"/>
      <c r="AB68" s="532"/>
      <c r="AC68" s="532"/>
      <c r="AD68" s="532"/>
      <c r="AE68" s="532"/>
      <c r="AF68" s="532"/>
      <c r="AG68" s="532"/>
      <c r="AH68" s="532"/>
      <c r="AI68" s="532"/>
      <c r="AJ68" s="532"/>
      <c r="AK68" s="532"/>
      <c r="AL68" s="532"/>
    </row>
    <row r="69" spans="1:38" ht="12.75" x14ac:dyDescent="0.2">
      <c r="B69" s="6"/>
      <c r="C69" s="6"/>
      <c r="D69" s="6"/>
      <c r="E69" s="34"/>
      <c r="F69" s="6"/>
      <c r="G69" s="7"/>
      <c r="H69" s="6"/>
      <c r="I69" s="34"/>
      <c r="J69" s="6"/>
      <c r="K69" s="17"/>
      <c r="L69" s="188"/>
      <c r="M69" s="6"/>
      <c r="N69" s="6"/>
      <c r="O69" s="6"/>
      <c r="P69" s="34"/>
      <c r="Q69" s="6"/>
      <c r="R69" s="7"/>
      <c r="S69" s="6"/>
      <c r="T69" s="34"/>
      <c r="U69" s="6"/>
      <c r="V69" s="17"/>
      <c r="X69" s="532"/>
      <c r="Y69" s="532"/>
      <c r="Z69" s="532"/>
      <c r="AA69" s="532"/>
      <c r="AB69" s="532"/>
      <c r="AC69" s="532"/>
      <c r="AD69" s="532"/>
      <c r="AE69" s="532"/>
      <c r="AF69" s="532"/>
      <c r="AG69" s="532"/>
      <c r="AH69" s="532"/>
      <c r="AI69" s="532"/>
      <c r="AJ69" s="532"/>
      <c r="AK69" s="532"/>
      <c r="AL69" s="532"/>
    </row>
    <row r="70" spans="1:38" ht="12.75" x14ac:dyDescent="0.2">
      <c r="B70" s="40"/>
      <c r="C70" s="40" t="s">
        <v>85</v>
      </c>
      <c r="D70" s="40"/>
      <c r="E70" s="53"/>
      <c r="F70" s="40"/>
      <c r="G70" s="41"/>
      <c r="H70" s="40"/>
      <c r="I70" s="53"/>
      <c r="J70" s="40"/>
      <c r="K70" s="42">
        <f>SUM(K23,K29,K38,K45,K63,K68)</f>
        <v>116.35433500000001</v>
      </c>
      <c r="L70" s="188"/>
      <c r="M70" s="40"/>
      <c r="N70" s="40" t="s">
        <v>85</v>
      </c>
      <c r="O70" s="40"/>
      <c r="P70" s="53"/>
      <c r="Q70" s="40"/>
      <c r="R70" s="41"/>
      <c r="S70" s="40"/>
      <c r="T70" s="53"/>
      <c r="U70" s="40"/>
      <c r="V70" s="42">
        <f>SUM(V20,V23,V29,V38,V45,V50,V63,V68)</f>
        <v>159.11839181249999</v>
      </c>
      <c r="X70" s="532"/>
      <c r="Y70" s="532"/>
      <c r="Z70" s="532"/>
      <c r="AA70" s="532"/>
      <c r="AB70" s="532"/>
      <c r="AC70" s="532"/>
      <c r="AD70" s="532"/>
      <c r="AE70" s="532"/>
      <c r="AF70" s="532"/>
      <c r="AG70" s="532"/>
      <c r="AH70" s="532"/>
      <c r="AI70" s="532"/>
      <c r="AJ70" s="532"/>
      <c r="AK70" s="532"/>
      <c r="AL70" s="532"/>
    </row>
    <row r="71" spans="1:38" s="37" customFormat="1" ht="12.75" x14ac:dyDescent="0.2">
      <c r="A71" s="200"/>
      <c r="B71" s="9"/>
      <c r="C71" s="9"/>
      <c r="D71" s="9"/>
      <c r="E71" s="58"/>
      <c r="F71" s="9"/>
      <c r="G71" s="13"/>
      <c r="H71" s="9"/>
      <c r="I71" s="58"/>
      <c r="J71" s="9"/>
      <c r="K71" s="183"/>
      <c r="L71" s="190"/>
      <c r="M71" s="6"/>
      <c r="N71" s="6"/>
      <c r="O71" s="6"/>
      <c r="P71" s="34"/>
      <c r="Q71" s="6"/>
      <c r="R71" s="7"/>
      <c r="S71" s="6"/>
      <c r="T71" s="34"/>
      <c r="U71" s="6"/>
      <c r="V71" s="17"/>
      <c r="X71" s="200"/>
      <c r="Y71" s="200"/>
      <c r="Z71" s="200"/>
      <c r="AA71" s="200"/>
      <c r="AB71" s="200"/>
      <c r="AC71" s="200"/>
      <c r="AD71" s="200"/>
      <c r="AE71" s="200"/>
      <c r="AF71" s="200"/>
      <c r="AG71" s="200"/>
      <c r="AH71" s="200"/>
      <c r="AI71" s="200"/>
      <c r="AJ71" s="200"/>
      <c r="AK71" s="200"/>
      <c r="AL71" s="200"/>
    </row>
    <row r="72" spans="1:38" ht="12.75" x14ac:dyDescent="0.2">
      <c r="B72" s="9"/>
      <c r="C72" s="9"/>
      <c r="D72" s="9"/>
      <c r="E72" s="58"/>
      <c r="F72" s="9"/>
      <c r="G72" s="13"/>
      <c r="H72" s="9"/>
      <c r="I72" s="58"/>
      <c r="J72" s="9"/>
      <c r="K72" s="183"/>
      <c r="L72" s="188"/>
      <c r="M72" s="193"/>
      <c r="N72" s="50" t="s">
        <v>303</v>
      </c>
      <c r="O72" s="50"/>
      <c r="P72" s="51"/>
      <c r="Q72" s="50"/>
      <c r="R72" s="52"/>
      <c r="S72" s="50"/>
      <c r="T72" s="51"/>
      <c r="U72" s="50"/>
      <c r="V72" s="73">
        <f>V16-V70</f>
        <v>399.33160818750002</v>
      </c>
      <c r="X72" s="532"/>
      <c r="Y72" s="532"/>
      <c r="Z72" s="532"/>
      <c r="AA72" s="532"/>
      <c r="AB72" s="532"/>
      <c r="AC72" s="532"/>
      <c r="AD72" s="532"/>
      <c r="AE72" s="532"/>
      <c r="AF72" s="532"/>
      <c r="AG72" s="532"/>
      <c r="AH72" s="532"/>
      <c r="AI72" s="532"/>
      <c r="AJ72" s="532"/>
      <c r="AK72" s="532"/>
      <c r="AL72" s="532"/>
    </row>
    <row r="73" spans="1:38" ht="11.25" customHeight="1" x14ac:dyDescent="0.2">
      <c r="B73" s="9"/>
      <c r="C73" s="9"/>
      <c r="D73" s="9"/>
      <c r="E73" s="58"/>
      <c r="F73" s="9"/>
      <c r="G73" s="13"/>
      <c r="H73" s="9"/>
      <c r="I73" s="58"/>
      <c r="J73" s="9"/>
      <c r="K73" s="183"/>
      <c r="L73" s="188"/>
      <c r="M73" s="193"/>
      <c r="N73" s="193"/>
      <c r="O73" s="193"/>
      <c r="P73" s="194"/>
      <c r="Q73" s="193"/>
      <c r="R73" s="195"/>
      <c r="S73" s="193"/>
      <c r="T73" s="194"/>
      <c r="U73" s="193"/>
      <c r="V73" s="196"/>
      <c r="X73" s="532"/>
      <c r="Y73" s="532"/>
      <c r="Z73" s="532"/>
      <c r="AA73" s="532"/>
      <c r="AB73" s="532"/>
      <c r="AC73" s="532"/>
      <c r="AD73" s="532"/>
      <c r="AE73" s="532"/>
      <c r="AF73" s="532"/>
      <c r="AG73" s="532"/>
      <c r="AH73" s="532"/>
      <c r="AI73" s="532"/>
      <c r="AJ73" s="532"/>
      <c r="AK73" s="532"/>
      <c r="AL73" s="532"/>
    </row>
    <row r="74" spans="1:38" ht="12.75" x14ac:dyDescent="0.2">
      <c r="B74" s="6"/>
      <c r="C74" s="5" t="s">
        <v>115</v>
      </c>
      <c r="D74" s="6"/>
      <c r="E74" s="34"/>
      <c r="F74" s="6"/>
      <c r="G74" s="7"/>
      <c r="H74" s="6"/>
      <c r="I74" s="34"/>
      <c r="J74" s="6"/>
      <c r="K74" s="17"/>
      <c r="L74" s="190"/>
      <c r="M74" s="6"/>
      <c r="N74" s="5" t="s">
        <v>189</v>
      </c>
      <c r="O74" s="6"/>
      <c r="P74" s="34"/>
      <c r="Q74" s="6"/>
      <c r="R74" s="7"/>
      <c r="S74" s="6"/>
      <c r="T74" s="34"/>
      <c r="U74" s="6"/>
      <c r="V74" s="17"/>
      <c r="X74" s="532"/>
      <c r="Y74" s="532"/>
      <c r="Z74" s="532"/>
      <c r="AA74" s="532"/>
      <c r="AB74" s="532"/>
      <c r="AC74" s="532"/>
      <c r="AD74" s="532"/>
      <c r="AE74" s="532"/>
      <c r="AF74" s="532"/>
      <c r="AG74" s="532"/>
      <c r="AH74" s="532"/>
      <c r="AI74" s="532"/>
      <c r="AJ74" s="532"/>
      <c r="AK74" s="532"/>
      <c r="AL74" s="532"/>
    </row>
    <row r="75" spans="1:38" ht="12.75" x14ac:dyDescent="0.2">
      <c r="B75" s="6"/>
      <c r="C75" s="684" t="s">
        <v>100</v>
      </c>
      <c r="D75" s="684"/>
      <c r="E75" s="684"/>
      <c r="F75" s="6"/>
      <c r="G75" s="16" t="s">
        <v>63</v>
      </c>
      <c r="H75" s="6"/>
      <c r="I75" s="109">
        <f>'Machinery Costs'!D142</f>
        <v>11.07</v>
      </c>
      <c r="J75" s="6"/>
      <c r="K75" s="17">
        <f>I75</f>
        <v>11.07</v>
      </c>
      <c r="M75" s="6"/>
      <c r="N75" s="679" t="s">
        <v>100</v>
      </c>
      <c r="O75" s="679"/>
      <c r="P75" s="679"/>
      <c r="Q75" s="6"/>
      <c r="R75" s="16" t="s">
        <v>63</v>
      </c>
      <c r="S75" s="6"/>
      <c r="T75" s="109">
        <f>'Machinery Costs'!D170</f>
        <v>10.876300000000001</v>
      </c>
      <c r="U75" s="6"/>
      <c r="V75" s="17">
        <f>T75</f>
        <v>10.876300000000001</v>
      </c>
      <c r="X75" s="532"/>
      <c r="Y75" s="532"/>
      <c r="Z75" s="532"/>
      <c r="AA75" s="532"/>
      <c r="AB75" s="532"/>
      <c r="AC75" s="532"/>
      <c r="AD75" s="532"/>
      <c r="AE75" s="532"/>
      <c r="AF75" s="532"/>
      <c r="AG75" s="532"/>
      <c r="AH75" s="532"/>
      <c r="AI75" s="532"/>
      <c r="AJ75" s="532"/>
      <c r="AK75" s="532"/>
      <c r="AL75" s="532"/>
    </row>
    <row r="76" spans="1:38" ht="12.75" x14ac:dyDescent="0.2">
      <c r="B76" s="6"/>
      <c r="C76" s="684" t="s">
        <v>101</v>
      </c>
      <c r="D76" s="684"/>
      <c r="E76" s="684"/>
      <c r="F76" s="6"/>
      <c r="G76" s="16" t="s">
        <v>63</v>
      </c>
      <c r="H76" s="6"/>
      <c r="I76" s="109">
        <f>'Machinery Costs'!E142</f>
        <v>8.2900000000000009</v>
      </c>
      <c r="J76" s="6"/>
      <c r="K76" s="17">
        <f>I76</f>
        <v>8.2900000000000009</v>
      </c>
      <c r="M76" s="6"/>
      <c r="N76" s="679" t="s">
        <v>101</v>
      </c>
      <c r="O76" s="679"/>
      <c r="P76" s="679"/>
      <c r="Q76" s="6"/>
      <c r="R76" s="16" t="s">
        <v>63</v>
      </c>
      <c r="S76" s="6"/>
      <c r="T76" s="109">
        <f>'Machinery Costs'!E170</f>
        <v>9.7690000000000001</v>
      </c>
      <c r="U76" s="6"/>
      <c r="V76" s="17">
        <f>T76</f>
        <v>9.7690000000000001</v>
      </c>
      <c r="X76" s="532"/>
      <c r="Y76" s="532"/>
      <c r="Z76" s="532"/>
      <c r="AA76" s="532"/>
      <c r="AB76" s="532"/>
      <c r="AC76" s="532"/>
      <c r="AD76" s="532"/>
      <c r="AE76" s="532"/>
      <c r="AF76" s="532"/>
      <c r="AG76" s="532"/>
      <c r="AH76" s="532"/>
      <c r="AI76" s="532"/>
      <c r="AJ76" s="532"/>
      <c r="AK76" s="532"/>
      <c r="AL76" s="532"/>
    </row>
    <row r="77" spans="1:38" ht="14.25" customHeight="1" x14ac:dyDescent="0.2">
      <c r="B77" s="6"/>
      <c r="C77" s="684" t="s">
        <v>3</v>
      </c>
      <c r="D77" s="684"/>
      <c r="E77" s="684"/>
      <c r="F77" s="6"/>
      <c r="G77" s="16" t="s">
        <v>63</v>
      </c>
      <c r="H77" s="6"/>
      <c r="I77" s="109">
        <f>'Machinery Costs'!F142</f>
        <v>4.3</v>
      </c>
      <c r="J77" s="6"/>
      <c r="K77" s="17">
        <f>I77</f>
        <v>4.3</v>
      </c>
      <c r="L77" s="191"/>
      <c r="M77" s="6"/>
      <c r="N77" s="679" t="s">
        <v>3</v>
      </c>
      <c r="O77" s="679"/>
      <c r="P77" s="679"/>
      <c r="Q77" s="6"/>
      <c r="R77" s="16" t="s">
        <v>63</v>
      </c>
      <c r="S77" s="6"/>
      <c r="T77" s="109">
        <f>'Machinery Costs'!F170</f>
        <v>5.9546999999999999</v>
      </c>
      <c r="U77" s="6"/>
      <c r="V77" s="17">
        <f>T77</f>
        <v>5.9546999999999999</v>
      </c>
      <c r="X77" s="532"/>
      <c r="Y77" s="532"/>
      <c r="Z77" s="532"/>
      <c r="AA77" s="532"/>
      <c r="AB77" s="532"/>
      <c r="AC77" s="532"/>
      <c r="AD77" s="532"/>
      <c r="AE77" s="532"/>
      <c r="AF77" s="532"/>
      <c r="AG77" s="532"/>
      <c r="AH77" s="532"/>
      <c r="AI77" s="532"/>
      <c r="AJ77" s="532"/>
      <c r="AK77" s="532"/>
      <c r="AL77" s="532"/>
    </row>
    <row r="78" spans="1:38" ht="14.25" customHeight="1" x14ac:dyDescent="0.2">
      <c r="B78" s="71"/>
      <c r="C78" s="34"/>
      <c r="D78" s="34"/>
      <c r="E78" s="34"/>
      <c r="F78" s="6"/>
      <c r="G78" s="7"/>
      <c r="H78" s="6"/>
      <c r="I78" s="34"/>
      <c r="J78" s="6"/>
      <c r="K78" s="17"/>
      <c r="L78" s="191"/>
      <c r="M78" s="71"/>
      <c r="N78" s="683" t="s">
        <v>546</v>
      </c>
      <c r="O78" s="679"/>
      <c r="P78" s="679"/>
      <c r="Q78" s="9"/>
      <c r="R78" s="16" t="s">
        <v>63</v>
      </c>
      <c r="S78" s="9"/>
      <c r="T78" s="593">
        <f>K90*(1+Operloan)</f>
        <v>151.23765926250005</v>
      </c>
      <c r="U78" s="9"/>
      <c r="V78" s="183">
        <f>T78</f>
        <v>151.23765926250005</v>
      </c>
      <c r="X78" s="532"/>
      <c r="Y78" s="532"/>
      <c r="Z78" s="532"/>
      <c r="AA78" s="532"/>
      <c r="AB78" s="532"/>
      <c r="AC78" s="532"/>
      <c r="AD78" s="532"/>
      <c r="AE78" s="532"/>
      <c r="AF78" s="532"/>
      <c r="AG78" s="532"/>
      <c r="AH78" s="532"/>
      <c r="AI78" s="532"/>
      <c r="AJ78" s="532"/>
      <c r="AK78" s="532"/>
      <c r="AL78" s="532"/>
    </row>
    <row r="79" spans="1:38" ht="12.75" customHeight="1" x14ac:dyDescent="0.2">
      <c r="B79" s="6"/>
      <c r="C79" s="34"/>
      <c r="D79" s="34"/>
      <c r="E79" s="34"/>
      <c r="F79" s="6"/>
      <c r="G79" s="7"/>
      <c r="H79" s="6"/>
      <c r="I79" s="34"/>
      <c r="J79" s="6"/>
      <c r="K79" s="17"/>
      <c r="L79" s="191"/>
      <c r="M79" s="6"/>
      <c r="N79" s="683" t="s">
        <v>551</v>
      </c>
      <c r="O79" s="679"/>
      <c r="P79" s="679"/>
      <c r="Q79" s="6"/>
      <c r="R79" s="16" t="s">
        <v>63</v>
      </c>
      <c r="S79" s="6"/>
      <c r="T79" s="64">
        <f>ROUND((P16*T16)*P81-(V23+K23+V29+K29+T64)*P81, 0)</f>
        <v>129</v>
      </c>
      <c r="U79" s="6"/>
      <c r="V79" s="17">
        <f>+T79</f>
        <v>129</v>
      </c>
      <c r="X79" s="532"/>
      <c r="Y79" s="532"/>
      <c r="Z79" s="532"/>
      <c r="AA79" s="532"/>
      <c r="AB79" s="532"/>
      <c r="AC79" s="532"/>
      <c r="AD79" s="532"/>
      <c r="AE79" s="532"/>
      <c r="AF79" s="532"/>
      <c r="AG79" s="532"/>
      <c r="AH79" s="532"/>
      <c r="AI79" s="532"/>
      <c r="AJ79" s="532"/>
      <c r="AK79" s="532"/>
      <c r="AL79" s="532"/>
    </row>
    <row r="80" spans="1:38" ht="12.75" customHeight="1" x14ac:dyDescent="0.2">
      <c r="B80" s="6"/>
      <c r="C80" s="684" t="s">
        <v>128</v>
      </c>
      <c r="D80" s="684"/>
      <c r="E80" s="684"/>
      <c r="F80" s="39"/>
      <c r="G80" s="16" t="s">
        <v>63</v>
      </c>
      <c r="H80" s="6"/>
      <c r="I80" s="575">
        <f>Cashrent</f>
        <v>0</v>
      </c>
      <c r="J80" s="6"/>
      <c r="K80" s="17">
        <f>Cashrent</f>
        <v>0</v>
      </c>
      <c r="M80" s="6"/>
      <c r="N80" s="56" t="s">
        <v>556</v>
      </c>
      <c r="O80" s="6"/>
      <c r="P80" s="34"/>
      <c r="Q80" s="6"/>
      <c r="R80" s="7"/>
      <c r="S80" s="6"/>
      <c r="T80" s="70"/>
      <c r="U80" s="6"/>
      <c r="V80" s="17"/>
      <c r="X80" s="532"/>
      <c r="Y80" s="532"/>
      <c r="Z80" s="532"/>
      <c r="AA80" s="532"/>
      <c r="AB80" s="532"/>
      <c r="AC80" s="532"/>
      <c r="AD80" s="532"/>
      <c r="AE80" s="532"/>
      <c r="AF80" s="532"/>
      <c r="AG80" s="532"/>
      <c r="AH80" s="532"/>
      <c r="AI80" s="532"/>
      <c r="AJ80" s="532"/>
      <c r="AK80" s="532"/>
      <c r="AL80" s="532"/>
    </row>
    <row r="81" spans="1:38" ht="14.25" x14ac:dyDescent="0.2">
      <c r="B81" s="6"/>
      <c r="C81" s="684" t="s">
        <v>15</v>
      </c>
      <c r="D81" s="684"/>
      <c r="E81" s="684"/>
      <c r="F81" s="39"/>
      <c r="G81" s="577" t="s">
        <v>63</v>
      </c>
      <c r="H81" s="6"/>
      <c r="I81" s="64">
        <f>ROUND(SUM(K23,K29,K38,K45,K63)*OH, 0)</f>
        <v>3</v>
      </c>
      <c r="J81" s="6"/>
      <c r="K81" s="17">
        <f>ROUND(SUM(K23,K29,K38,K45,K63)*OH, 0)</f>
        <v>3</v>
      </c>
      <c r="M81" s="6"/>
      <c r="N81" s="6" t="s">
        <v>96</v>
      </c>
      <c r="O81" s="6"/>
      <c r="P81" s="632">
        <v>0.33300000000000002</v>
      </c>
      <c r="Q81" s="6"/>
      <c r="R81" s="7"/>
      <c r="S81" s="6"/>
      <c r="T81" s="49"/>
      <c r="U81" s="6"/>
      <c r="V81" s="17"/>
      <c r="X81" s="532"/>
      <c r="Y81" s="532"/>
      <c r="Z81" s="532"/>
      <c r="AA81" s="532"/>
      <c r="AB81" s="532"/>
      <c r="AC81" s="532"/>
      <c r="AD81" s="532"/>
      <c r="AE81" s="532"/>
      <c r="AF81" s="532"/>
      <c r="AG81" s="532"/>
      <c r="AH81" s="532"/>
      <c r="AI81" s="532"/>
      <c r="AJ81" s="532"/>
      <c r="AK81" s="532"/>
      <c r="AL81" s="532"/>
    </row>
    <row r="82" spans="1:38" ht="12.75" customHeight="1" x14ac:dyDescent="0.2">
      <c r="B82" s="6"/>
      <c r="C82" s="39"/>
      <c r="D82" s="39"/>
      <c r="E82" s="60"/>
      <c r="F82" s="39"/>
      <c r="G82" s="60"/>
      <c r="H82" s="6"/>
      <c r="I82" s="34"/>
      <c r="J82" s="6"/>
      <c r="K82" s="17"/>
      <c r="M82" s="6"/>
      <c r="N82" s="6" t="s">
        <v>97</v>
      </c>
      <c r="O82" s="6"/>
      <c r="P82" s="632">
        <v>0.66600000000000004</v>
      </c>
      <c r="Q82" s="6"/>
      <c r="R82" s="7"/>
      <c r="S82" s="6"/>
      <c r="T82" s="49"/>
      <c r="U82" s="6"/>
      <c r="V82" s="17"/>
      <c r="X82" s="532"/>
      <c r="Y82" s="532"/>
      <c r="Z82" s="532"/>
      <c r="AA82" s="532"/>
      <c r="AB82" s="532"/>
      <c r="AC82" s="532"/>
      <c r="AD82" s="532"/>
      <c r="AE82" s="532"/>
      <c r="AF82" s="532"/>
      <c r="AG82" s="532"/>
      <c r="AH82" s="532"/>
      <c r="AI82" s="532"/>
      <c r="AJ82" s="532"/>
      <c r="AK82" s="532"/>
      <c r="AL82" s="532"/>
    </row>
    <row r="83" spans="1:38" ht="4.5" customHeight="1" x14ac:dyDescent="0.2">
      <c r="B83" s="6"/>
      <c r="C83" s="39"/>
      <c r="D83" s="39"/>
      <c r="E83" s="60"/>
      <c r="F83" s="39"/>
      <c r="G83" s="60"/>
      <c r="H83" s="6"/>
      <c r="I83" s="34"/>
      <c r="J83" s="6"/>
      <c r="K83" s="17"/>
      <c r="M83" s="6"/>
      <c r="N83" s="6"/>
      <c r="O83" s="6"/>
      <c r="P83" s="6"/>
      <c r="Q83" s="6"/>
      <c r="R83" s="7"/>
      <c r="S83" s="6"/>
      <c r="T83" s="49"/>
      <c r="U83" s="6"/>
      <c r="V83" s="17"/>
      <c r="X83" s="532"/>
      <c r="Y83" s="532"/>
      <c r="Z83" s="532"/>
      <c r="AA83" s="532"/>
      <c r="AB83" s="532"/>
      <c r="AC83" s="532"/>
      <c r="AD83" s="532"/>
      <c r="AE83" s="532"/>
      <c r="AF83" s="532"/>
      <c r="AG83" s="532"/>
      <c r="AH83" s="532"/>
      <c r="AI83" s="532"/>
      <c r="AJ83" s="532"/>
      <c r="AK83" s="532"/>
      <c r="AL83" s="532"/>
    </row>
    <row r="84" spans="1:38" ht="12.75" customHeight="1" x14ac:dyDescent="0.2">
      <c r="B84" s="6"/>
      <c r="C84" s="39"/>
      <c r="D84" s="39"/>
      <c r="E84" s="60"/>
      <c r="F84" s="39"/>
      <c r="G84" s="60"/>
      <c r="H84" s="6"/>
      <c r="I84" s="34"/>
      <c r="J84" s="6"/>
      <c r="K84" s="17"/>
      <c r="M84" s="6"/>
      <c r="N84" s="683" t="s">
        <v>34</v>
      </c>
      <c r="O84" s="679"/>
      <c r="P84" s="679">
        <v>1</v>
      </c>
      <c r="Q84" s="6"/>
      <c r="R84" s="16" t="s">
        <v>63</v>
      </c>
      <c r="S84" s="6"/>
      <c r="T84" s="575">
        <f>Cashrent</f>
        <v>0</v>
      </c>
      <c r="U84" s="6"/>
      <c r="V84" s="17">
        <f>+T84</f>
        <v>0</v>
      </c>
      <c r="X84" s="532"/>
      <c r="Y84" s="532"/>
      <c r="Z84" s="532"/>
      <c r="AA84" s="532"/>
      <c r="AB84" s="532"/>
      <c r="AC84" s="532"/>
      <c r="AD84" s="532"/>
      <c r="AE84" s="532"/>
      <c r="AF84" s="532"/>
      <c r="AG84" s="532"/>
      <c r="AH84" s="532"/>
      <c r="AI84" s="532"/>
      <c r="AJ84" s="532"/>
      <c r="AK84" s="532"/>
      <c r="AL84" s="532"/>
    </row>
    <row r="85" spans="1:38" ht="14.25" x14ac:dyDescent="0.2">
      <c r="B85" s="6"/>
      <c r="C85" s="6"/>
      <c r="D85" s="6"/>
      <c r="E85" s="34"/>
      <c r="F85" s="6"/>
      <c r="G85" s="7"/>
      <c r="H85" s="6"/>
      <c r="I85" s="34"/>
      <c r="J85" s="6"/>
      <c r="K85" s="17"/>
      <c r="M85" s="6"/>
      <c r="N85" s="679" t="s">
        <v>236</v>
      </c>
      <c r="O85" s="679"/>
      <c r="P85" s="679"/>
      <c r="Q85" s="6"/>
      <c r="R85" s="16" t="s">
        <v>63</v>
      </c>
      <c r="S85" s="6"/>
      <c r="T85" s="64">
        <f>ROUND(($V$20+$V$23+$V$29+$V$38+$V$45+$V$50+$V$63)*OH, 0)</f>
        <v>4</v>
      </c>
      <c r="U85" s="6"/>
      <c r="V85" s="17">
        <f>T85</f>
        <v>4</v>
      </c>
      <c r="X85" s="532"/>
      <c r="Y85" s="532"/>
      <c r="Z85" s="532"/>
      <c r="AA85" s="532"/>
      <c r="AB85" s="532"/>
      <c r="AC85" s="532"/>
      <c r="AD85" s="532"/>
      <c r="AE85" s="532"/>
      <c r="AF85" s="532"/>
      <c r="AG85" s="532"/>
      <c r="AH85" s="532"/>
      <c r="AI85" s="532"/>
      <c r="AJ85" s="532"/>
      <c r="AK85" s="532"/>
      <c r="AL85" s="532"/>
    </row>
    <row r="86" spans="1:38" ht="14.25" x14ac:dyDescent="0.2">
      <c r="B86" s="6"/>
      <c r="C86" s="6"/>
      <c r="D86" s="6"/>
      <c r="E86" s="34"/>
      <c r="F86" s="6"/>
      <c r="G86" s="7"/>
      <c r="H86" s="6"/>
      <c r="I86" s="34"/>
      <c r="J86" s="6"/>
      <c r="K86" s="17"/>
      <c r="M86" s="6"/>
      <c r="N86" s="679" t="s">
        <v>237</v>
      </c>
      <c r="O86" s="679"/>
      <c r="P86" s="679"/>
      <c r="Q86" s="6"/>
      <c r="R86" s="16" t="s">
        <v>63</v>
      </c>
      <c r="S86" s="6"/>
      <c r="T86" s="64">
        <f>ROUND(($V$16)*Mgmtfee, 0)</f>
        <v>28</v>
      </c>
      <c r="U86" s="6"/>
      <c r="V86" s="17">
        <f>T86</f>
        <v>28</v>
      </c>
      <c r="W86" s="154"/>
      <c r="X86" s="532"/>
      <c r="Y86" s="532"/>
      <c r="Z86" s="532"/>
      <c r="AA86" s="532"/>
      <c r="AB86" s="532"/>
      <c r="AC86" s="532"/>
      <c r="AD86" s="532"/>
      <c r="AE86" s="532"/>
      <c r="AF86" s="532"/>
      <c r="AG86" s="532"/>
      <c r="AH86" s="532"/>
      <c r="AI86" s="532"/>
      <c r="AJ86" s="532"/>
      <c r="AK86" s="532"/>
      <c r="AL86" s="532"/>
    </row>
    <row r="87" spans="1:38" ht="12.75" x14ac:dyDescent="0.2">
      <c r="B87" s="6"/>
      <c r="C87" s="6"/>
      <c r="D87" s="6"/>
      <c r="E87" s="34"/>
      <c r="F87" s="6"/>
      <c r="G87" s="7"/>
      <c r="H87" s="6"/>
      <c r="I87" s="34"/>
      <c r="J87" s="6"/>
      <c r="K87" s="17"/>
      <c r="M87" s="6"/>
      <c r="N87" s="6"/>
      <c r="O87" s="6"/>
      <c r="P87" s="34"/>
      <c r="Q87" s="6"/>
      <c r="R87" s="7"/>
      <c r="S87" s="6"/>
      <c r="T87" s="34"/>
      <c r="U87" s="6"/>
      <c r="V87" s="17"/>
      <c r="X87" s="532"/>
      <c r="Y87" s="532"/>
      <c r="Z87" s="532"/>
      <c r="AA87" s="532"/>
      <c r="AB87" s="532"/>
      <c r="AC87" s="532"/>
      <c r="AD87" s="532"/>
      <c r="AE87" s="532"/>
      <c r="AF87" s="532"/>
      <c r="AG87" s="532"/>
      <c r="AH87" s="532"/>
      <c r="AI87" s="532"/>
      <c r="AJ87" s="532"/>
      <c r="AK87" s="532"/>
      <c r="AL87" s="532"/>
    </row>
    <row r="88" spans="1:38" ht="12.75" x14ac:dyDescent="0.2">
      <c r="B88" s="40"/>
      <c r="C88" s="40" t="s">
        <v>84</v>
      </c>
      <c r="D88" s="40"/>
      <c r="E88" s="53"/>
      <c r="F88" s="40"/>
      <c r="G88" s="41"/>
      <c r="H88" s="40"/>
      <c r="I88" s="53"/>
      <c r="J88" s="40"/>
      <c r="K88" s="42">
        <f>SUM(K75:K86)</f>
        <v>26.66</v>
      </c>
      <c r="L88" s="192"/>
      <c r="M88" s="40"/>
      <c r="N88" s="40" t="s">
        <v>84</v>
      </c>
      <c r="O88" s="40"/>
      <c r="P88" s="53"/>
      <c r="Q88" s="40"/>
      <c r="R88" s="41"/>
      <c r="S88" s="40"/>
      <c r="T88" s="53"/>
      <c r="U88" s="40"/>
      <c r="V88" s="42">
        <f>SUM(V74:V86)</f>
        <v>338.83765926250004</v>
      </c>
      <c r="X88" s="532"/>
      <c r="Y88" s="532"/>
      <c r="Z88" s="532"/>
      <c r="AA88" s="532"/>
      <c r="AB88" s="532"/>
      <c r="AC88" s="532"/>
      <c r="AD88" s="532"/>
      <c r="AE88" s="532"/>
      <c r="AF88" s="532"/>
      <c r="AG88" s="532"/>
      <c r="AH88" s="532"/>
      <c r="AI88" s="532"/>
      <c r="AJ88" s="532"/>
      <c r="AK88" s="532"/>
      <c r="AL88" s="532"/>
    </row>
    <row r="89" spans="1:38" ht="12.75" x14ac:dyDescent="0.2">
      <c r="B89" s="6"/>
      <c r="C89" s="6"/>
      <c r="D89" s="6"/>
      <c r="E89" s="34"/>
      <c r="F89" s="6"/>
      <c r="G89" s="7"/>
      <c r="H89" s="6"/>
      <c r="I89" s="34"/>
      <c r="J89" s="6"/>
      <c r="K89" s="17"/>
      <c r="L89" s="122"/>
      <c r="M89" s="6"/>
      <c r="N89" s="6"/>
      <c r="O89" s="6"/>
      <c r="P89" s="34"/>
      <c r="Q89" s="6"/>
      <c r="R89" s="7"/>
      <c r="S89" s="6"/>
      <c r="T89" s="34"/>
      <c r="U89" s="6"/>
      <c r="V89" s="17"/>
      <c r="X89" s="532"/>
      <c r="Y89" s="532"/>
      <c r="Z89" s="532"/>
      <c r="AA89" s="532"/>
      <c r="AB89" s="532"/>
      <c r="AC89" s="532"/>
      <c r="AD89" s="532"/>
      <c r="AE89" s="532"/>
      <c r="AF89" s="532"/>
      <c r="AG89" s="532"/>
      <c r="AH89" s="532"/>
      <c r="AI89" s="532"/>
      <c r="AJ89" s="532"/>
      <c r="AK89" s="532"/>
      <c r="AL89" s="532"/>
    </row>
    <row r="90" spans="1:38" ht="12.75" x14ac:dyDescent="0.2">
      <c r="A90" s="89"/>
      <c r="B90" s="40"/>
      <c r="C90" s="193" t="s">
        <v>26</v>
      </c>
      <c r="D90" s="193"/>
      <c r="E90" s="194"/>
      <c r="F90" s="193"/>
      <c r="G90" s="195"/>
      <c r="H90" s="193"/>
      <c r="I90" s="194"/>
      <c r="J90" s="193"/>
      <c r="K90" s="196">
        <f>K70+K88</f>
        <v>143.01433500000002</v>
      </c>
      <c r="M90" s="40"/>
      <c r="N90" s="40" t="s">
        <v>26</v>
      </c>
      <c r="O90" s="40"/>
      <c r="P90" s="53"/>
      <c r="Q90" s="40"/>
      <c r="R90" s="41"/>
      <c r="S90" s="40"/>
      <c r="T90" s="53"/>
      <c r="U90" s="40"/>
      <c r="V90" s="42">
        <f>V70+V88</f>
        <v>497.956051075</v>
      </c>
      <c r="X90" s="532"/>
      <c r="Y90" s="532"/>
      <c r="Z90" s="532"/>
      <c r="AA90" s="532"/>
      <c r="AB90" s="532"/>
      <c r="AC90" s="532"/>
      <c r="AD90" s="532"/>
      <c r="AE90" s="532"/>
      <c r="AF90" s="532"/>
      <c r="AG90" s="532"/>
      <c r="AH90" s="532"/>
      <c r="AI90" s="532"/>
      <c r="AJ90" s="532"/>
      <c r="AK90" s="532"/>
      <c r="AL90" s="532"/>
    </row>
    <row r="91" spans="1:38" s="38" customFormat="1" ht="12.75" x14ac:dyDescent="0.2">
      <c r="A91" s="154"/>
      <c r="B91" s="9"/>
      <c r="C91" s="9"/>
      <c r="D91" s="9"/>
      <c r="E91" s="58"/>
      <c r="F91" s="9"/>
      <c r="G91" s="13"/>
      <c r="H91" s="9"/>
      <c r="I91" s="58"/>
      <c r="J91" s="9"/>
      <c r="K91" s="221"/>
      <c r="L91" s="121"/>
      <c r="M91" s="56"/>
      <c r="N91" s="56"/>
      <c r="O91" s="56"/>
      <c r="P91" s="61"/>
      <c r="Q91" s="56"/>
      <c r="R91" s="57"/>
      <c r="S91" s="56"/>
      <c r="T91" s="61"/>
      <c r="U91" s="56"/>
      <c r="V91" s="17"/>
      <c r="X91" s="533"/>
      <c r="Y91" s="533"/>
      <c r="Z91" s="533"/>
      <c r="AA91" s="533"/>
      <c r="AB91" s="533"/>
      <c r="AC91" s="533"/>
      <c r="AD91" s="533"/>
      <c r="AE91" s="533"/>
      <c r="AF91" s="533"/>
      <c r="AG91" s="533"/>
      <c r="AH91" s="533"/>
      <c r="AI91" s="533"/>
      <c r="AJ91" s="533"/>
      <c r="AK91" s="533"/>
      <c r="AL91" s="533"/>
    </row>
    <row r="92" spans="1:38" ht="12.75" x14ac:dyDescent="0.2">
      <c r="A92" s="200"/>
      <c r="B92" s="44"/>
      <c r="C92" s="44" t="s">
        <v>27</v>
      </c>
      <c r="D92" s="44"/>
      <c r="E92" s="62"/>
      <c r="F92" s="44"/>
      <c r="G92" s="45"/>
      <c r="H92" s="44"/>
      <c r="I92" s="62"/>
      <c r="J92" s="44"/>
      <c r="K92" s="44"/>
      <c r="M92" s="6"/>
      <c r="N92" s="9"/>
      <c r="O92" s="9"/>
      <c r="P92" s="58"/>
      <c r="Q92" s="9"/>
      <c r="R92" s="13"/>
      <c r="S92" s="9"/>
      <c r="T92" s="58"/>
      <c r="U92" s="9"/>
      <c r="V92" s="183"/>
      <c r="X92" s="532"/>
      <c r="Y92" s="532"/>
      <c r="Z92" s="532"/>
      <c r="AA92" s="532"/>
      <c r="AB92" s="532"/>
      <c r="AC92" s="532"/>
      <c r="AD92" s="532"/>
      <c r="AE92" s="532"/>
      <c r="AF92" s="532"/>
      <c r="AG92" s="532"/>
      <c r="AH92" s="532"/>
      <c r="AI92" s="532"/>
      <c r="AJ92" s="532"/>
      <c r="AK92" s="532"/>
      <c r="AL92" s="532"/>
    </row>
    <row r="93" spans="1:38" s="37" customFormat="1" ht="14.25" x14ac:dyDescent="0.2">
      <c r="A93" s="154"/>
      <c r="B93" s="31"/>
      <c r="C93" s="680" t="s">
        <v>557</v>
      </c>
      <c r="D93" s="680"/>
      <c r="E93" s="680"/>
      <c r="F93" s="680"/>
      <c r="G93" s="680"/>
      <c r="H93" s="680"/>
      <c r="I93" s="680"/>
      <c r="J93" s="680"/>
      <c r="K93" s="680"/>
      <c r="L93" s="121"/>
      <c r="M93" s="40"/>
      <c r="N93" s="579" t="s">
        <v>442</v>
      </c>
      <c r="O93" s="579"/>
      <c r="P93" s="580"/>
      <c r="Q93" s="579"/>
      <c r="R93" s="580"/>
      <c r="S93" s="579"/>
      <c r="T93" s="580"/>
      <c r="U93" s="579"/>
      <c r="V93" s="581">
        <f>V16-V90</f>
        <v>60.493948925000041</v>
      </c>
      <c r="X93" s="200"/>
      <c r="Y93" s="200"/>
      <c r="Z93" s="200"/>
      <c r="AA93" s="200"/>
      <c r="AB93" s="200"/>
      <c r="AC93" s="200"/>
      <c r="AD93" s="200"/>
      <c r="AE93" s="200"/>
      <c r="AF93" s="200"/>
      <c r="AG93" s="200"/>
      <c r="AH93" s="200"/>
      <c r="AI93" s="200"/>
      <c r="AJ93" s="200"/>
      <c r="AK93" s="200"/>
      <c r="AL93" s="200"/>
    </row>
    <row r="94" spans="1:38" ht="28.5" customHeight="1" x14ac:dyDescent="0.2">
      <c r="C94" s="680" t="s">
        <v>553</v>
      </c>
      <c r="D94" s="680"/>
      <c r="E94" s="680"/>
      <c r="F94" s="680"/>
      <c r="G94" s="680"/>
      <c r="H94" s="680"/>
      <c r="I94" s="680"/>
      <c r="J94" s="680"/>
      <c r="K94" s="680"/>
      <c r="M94" s="40"/>
      <c r="N94" s="290"/>
      <c r="O94" s="290"/>
      <c r="P94" s="291"/>
      <c r="Q94" s="290"/>
      <c r="R94" s="291"/>
      <c r="S94" s="290"/>
      <c r="T94" s="291"/>
      <c r="U94" s="290"/>
      <c r="V94" s="292"/>
      <c r="X94" s="532"/>
      <c r="Y94" s="532"/>
      <c r="Z94" s="532"/>
      <c r="AA94" s="532"/>
      <c r="AB94" s="532"/>
      <c r="AC94" s="532"/>
      <c r="AD94" s="532"/>
      <c r="AE94" s="532"/>
      <c r="AF94" s="532"/>
      <c r="AG94" s="532"/>
      <c r="AH94" s="532"/>
      <c r="AI94" s="532"/>
      <c r="AJ94" s="532"/>
      <c r="AK94" s="532"/>
      <c r="AL94" s="532"/>
    </row>
    <row r="95" spans="1:38" ht="12.75" x14ac:dyDescent="0.2">
      <c r="M95" s="44"/>
      <c r="N95" s="44" t="s">
        <v>27</v>
      </c>
      <c r="O95" s="44"/>
      <c r="P95" s="62"/>
      <c r="Q95" s="44"/>
      <c r="R95" s="45"/>
      <c r="S95" s="44"/>
      <c r="T95" s="62"/>
      <c r="U95" s="44"/>
      <c r="V95" s="44"/>
      <c r="W95" s="12"/>
      <c r="X95" s="532"/>
      <c r="Y95" s="532"/>
      <c r="Z95" s="532"/>
      <c r="AA95" s="532"/>
      <c r="AB95" s="532"/>
      <c r="AC95" s="532"/>
      <c r="AD95" s="532"/>
      <c r="AE95" s="532"/>
      <c r="AF95" s="532"/>
      <c r="AG95" s="532"/>
      <c r="AH95" s="532"/>
      <c r="AI95" s="532"/>
      <c r="AJ95" s="532"/>
      <c r="AK95" s="532"/>
      <c r="AL95" s="532"/>
    </row>
    <row r="96" spans="1:38" s="31" customFormat="1" ht="40.5" customHeight="1" x14ac:dyDescent="0.2">
      <c r="A96" s="154"/>
      <c r="L96" s="121"/>
      <c r="N96" s="681" t="s">
        <v>476</v>
      </c>
      <c r="O96" s="681"/>
      <c r="P96" s="681"/>
      <c r="Q96" s="681"/>
      <c r="R96" s="681"/>
      <c r="S96" s="681"/>
      <c r="T96" s="681"/>
      <c r="U96" s="681"/>
      <c r="V96" s="681"/>
      <c r="X96" s="532"/>
      <c r="Y96" s="532"/>
      <c r="Z96" s="532"/>
      <c r="AA96" s="532"/>
      <c r="AB96" s="532"/>
      <c r="AC96" s="532"/>
      <c r="AD96" s="532"/>
      <c r="AE96" s="532"/>
      <c r="AF96" s="532"/>
      <c r="AG96" s="532"/>
      <c r="AH96" s="532"/>
      <c r="AI96" s="532"/>
      <c r="AJ96" s="532"/>
      <c r="AK96" s="532"/>
      <c r="AL96" s="532"/>
    </row>
    <row r="97" spans="1:38" s="31" customFormat="1" ht="14.25" x14ac:dyDescent="0.2">
      <c r="A97" s="154"/>
      <c r="B97" s="55"/>
      <c r="C97" s="55"/>
      <c r="D97" s="55"/>
      <c r="E97" s="55"/>
      <c r="F97" s="55"/>
      <c r="G97" s="55"/>
      <c r="H97" s="55"/>
      <c r="I97" s="55"/>
      <c r="J97" s="55"/>
      <c r="K97" s="55"/>
      <c r="L97" s="121"/>
      <c r="M97" s="55"/>
      <c r="N97" s="680" t="s">
        <v>558</v>
      </c>
      <c r="O97" s="680"/>
      <c r="P97" s="680"/>
      <c r="Q97" s="680"/>
      <c r="R97" s="680"/>
      <c r="S97" s="680"/>
      <c r="T97" s="680"/>
      <c r="U97" s="680"/>
      <c r="V97" s="680"/>
      <c r="X97" s="532"/>
      <c r="Y97" s="532"/>
      <c r="Z97" s="532"/>
      <c r="AA97" s="532"/>
      <c r="AB97" s="532"/>
      <c r="AC97" s="532"/>
      <c r="AD97" s="532"/>
      <c r="AE97" s="532"/>
      <c r="AF97" s="532"/>
      <c r="AG97" s="532"/>
      <c r="AH97" s="532"/>
      <c r="AI97" s="532"/>
      <c r="AJ97" s="532"/>
      <c r="AK97" s="532"/>
      <c r="AL97" s="532"/>
    </row>
    <row r="98" spans="1:38" s="31" customFormat="1" ht="27" customHeight="1" x14ac:dyDescent="0.2">
      <c r="A98" s="154"/>
      <c r="L98" s="121"/>
      <c r="N98" s="680" t="s">
        <v>554</v>
      </c>
      <c r="O98" s="680"/>
      <c r="P98" s="680"/>
      <c r="Q98" s="680"/>
      <c r="R98" s="680"/>
      <c r="S98" s="680"/>
      <c r="T98" s="680"/>
      <c r="U98" s="680"/>
      <c r="V98" s="680"/>
      <c r="X98" s="532"/>
      <c r="Y98" s="532"/>
      <c r="Z98" s="532"/>
      <c r="AA98" s="532"/>
      <c r="AB98" s="532"/>
      <c r="AC98" s="532"/>
      <c r="AD98" s="532"/>
      <c r="AE98" s="532"/>
      <c r="AF98" s="532"/>
      <c r="AG98" s="532"/>
      <c r="AH98" s="532"/>
      <c r="AI98" s="532"/>
      <c r="AJ98" s="532"/>
      <c r="AK98" s="532"/>
      <c r="AL98" s="532"/>
    </row>
    <row r="99" spans="1:38" s="31" customFormat="1" ht="17.25" customHeight="1" x14ac:dyDescent="0.2">
      <c r="A99" s="154"/>
      <c r="B99" s="36"/>
      <c r="C99" s="36"/>
      <c r="D99" s="36"/>
      <c r="E99" s="36"/>
      <c r="F99" s="36"/>
      <c r="G99" s="36"/>
      <c r="H99" s="36"/>
      <c r="I99" s="36"/>
      <c r="J99" s="36"/>
      <c r="K99" s="36"/>
      <c r="L99" s="121"/>
      <c r="M99" s="36"/>
      <c r="N99" s="680" t="s">
        <v>547</v>
      </c>
      <c r="O99" s="682"/>
      <c r="P99" s="682"/>
      <c r="Q99" s="682"/>
      <c r="R99" s="682"/>
      <c r="S99" s="682"/>
      <c r="T99" s="682"/>
      <c r="U99" s="682"/>
      <c r="V99" s="682"/>
      <c r="X99" s="532"/>
      <c r="Y99" s="532"/>
      <c r="Z99" s="532"/>
      <c r="AA99" s="532"/>
      <c r="AB99" s="532"/>
      <c r="AC99" s="532"/>
      <c r="AD99" s="532"/>
      <c r="AE99" s="532"/>
      <c r="AF99" s="532"/>
      <c r="AG99" s="532"/>
      <c r="AH99" s="532"/>
      <c r="AI99" s="532"/>
      <c r="AJ99" s="532"/>
      <c r="AK99" s="532"/>
      <c r="AL99" s="532"/>
    </row>
    <row r="100" spans="1:38" s="31" customFormat="1" ht="17.25" customHeight="1" x14ac:dyDescent="0.2">
      <c r="A100" s="154"/>
      <c r="L100" s="121"/>
      <c r="M100" s="121"/>
      <c r="N100" s="676"/>
      <c r="O100" s="676"/>
      <c r="P100" s="676"/>
      <c r="Q100" s="676"/>
      <c r="R100" s="676"/>
      <c r="S100" s="676"/>
      <c r="T100" s="676"/>
      <c r="U100" s="676"/>
      <c r="V100" s="676"/>
      <c r="X100" s="532"/>
      <c r="Y100" s="532"/>
      <c r="Z100" s="532"/>
      <c r="AA100" s="532"/>
      <c r="AB100" s="532"/>
      <c r="AC100" s="532"/>
      <c r="AD100" s="532"/>
      <c r="AE100" s="532"/>
      <c r="AF100" s="532"/>
      <c r="AG100" s="532"/>
      <c r="AH100" s="532"/>
      <c r="AI100" s="532"/>
      <c r="AJ100" s="532"/>
      <c r="AK100" s="532"/>
      <c r="AL100" s="532"/>
    </row>
    <row r="101" spans="1:38" ht="12.75" x14ac:dyDescent="0.2">
      <c r="M101" s="6"/>
      <c r="N101" s="6"/>
      <c r="O101" s="6"/>
      <c r="P101" s="34"/>
      <c r="Q101" s="6"/>
      <c r="R101" s="7"/>
      <c r="S101" s="6"/>
      <c r="T101" s="34"/>
      <c r="U101" s="6"/>
      <c r="V101" s="6"/>
      <c r="X101" s="532"/>
      <c r="Y101" s="532"/>
      <c r="Z101" s="532"/>
      <c r="AA101" s="532"/>
      <c r="AB101" s="532"/>
      <c r="AC101" s="532"/>
      <c r="AD101" s="532"/>
      <c r="AE101" s="532"/>
      <c r="AF101" s="532"/>
      <c r="AG101" s="532"/>
      <c r="AH101" s="532"/>
      <c r="AI101" s="532"/>
      <c r="AJ101" s="532"/>
      <c r="AK101" s="532"/>
      <c r="AL101" s="532"/>
    </row>
    <row r="102" spans="1:38" ht="12.75" x14ac:dyDescent="0.2">
      <c r="A102" s="532"/>
      <c r="M102" s="6"/>
      <c r="N102" s="643" t="s">
        <v>563</v>
      </c>
      <c r="O102" s="636"/>
      <c r="P102" s="637" t="s">
        <v>72</v>
      </c>
      <c r="Q102" s="636"/>
      <c r="R102" s="638" t="s">
        <v>559</v>
      </c>
      <c r="S102" s="6"/>
      <c r="T102" s="34"/>
      <c r="U102" s="6"/>
      <c r="V102" s="6"/>
      <c r="X102" s="532"/>
      <c r="Y102" s="532"/>
      <c r="Z102" s="532"/>
      <c r="AA102" s="532"/>
      <c r="AB102" s="532"/>
      <c r="AC102" s="532"/>
      <c r="AD102" s="532"/>
      <c r="AE102" s="532"/>
      <c r="AF102" s="532"/>
      <c r="AG102" s="532"/>
      <c r="AH102" s="532"/>
      <c r="AI102" s="532"/>
      <c r="AJ102" s="532"/>
      <c r="AK102" s="532"/>
      <c r="AL102" s="532"/>
    </row>
    <row r="103" spans="1:38" ht="12.75" x14ac:dyDescent="0.2">
      <c r="A103" s="532"/>
      <c r="M103" s="6"/>
      <c r="N103" s="644" t="s">
        <v>560</v>
      </c>
      <c r="O103" s="636"/>
      <c r="P103" s="639">
        <f>V70</f>
        <v>159.11839181249999</v>
      </c>
      <c r="Q103" s="636"/>
      <c r="R103" s="640">
        <f>P103/$P$16</f>
        <v>2.1797039974315067</v>
      </c>
      <c r="S103" s="6"/>
      <c r="T103" s="34"/>
      <c r="U103" s="6"/>
      <c r="V103" s="6"/>
      <c r="X103" s="532"/>
      <c r="Y103" s="532"/>
      <c r="Z103" s="532"/>
      <c r="AA103" s="532"/>
      <c r="AB103" s="532"/>
      <c r="AC103" s="532"/>
      <c r="AD103" s="532"/>
      <c r="AE103" s="532"/>
      <c r="AF103" s="532"/>
      <c r="AG103" s="532"/>
      <c r="AH103" s="532"/>
      <c r="AI103" s="532"/>
      <c r="AJ103" s="532"/>
      <c r="AK103" s="532"/>
      <c r="AL103" s="532"/>
    </row>
    <row r="104" spans="1:38" ht="12.75" x14ac:dyDescent="0.2">
      <c r="A104" s="532"/>
      <c r="M104" s="6"/>
      <c r="N104" s="644" t="s">
        <v>561</v>
      </c>
      <c r="O104" s="636"/>
      <c r="P104" s="639">
        <f>V88</f>
        <v>338.83765926250004</v>
      </c>
      <c r="Q104" s="636"/>
      <c r="R104" s="640">
        <f>P104/$P$16</f>
        <v>4.6416117707191784</v>
      </c>
      <c r="S104" s="6"/>
      <c r="T104" s="34"/>
      <c r="U104" s="6"/>
      <c r="V104" s="6"/>
      <c r="X104" s="532"/>
      <c r="Y104" s="532"/>
      <c r="Z104" s="532"/>
      <c r="AA104" s="532"/>
      <c r="AB104" s="532"/>
      <c r="AC104" s="532"/>
      <c r="AD104" s="532"/>
      <c r="AE104" s="532"/>
      <c r="AF104" s="532"/>
      <c r="AG104" s="532"/>
      <c r="AH104" s="532"/>
      <c r="AI104" s="532"/>
      <c r="AJ104" s="532"/>
      <c r="AK104" s="532"/>
      <c r="AL104" s="532"/>
    </row>
    <row r="105" spans="1:38" ht="12.75" x14ac:dyDescent="0.2">
      <c r="A105" s="532"/>
      <c r="M105" s="6"/>
      <c r="N105" s="644" t="s">
        <v>562</v>
      </c>
      <c r="O105" s="636"/>
      <c r="P105" s="639">
        <f>V90</f>
        <v>497.956051075</v>
      </c>
      <c r="Q105" s="636"/>
      <c r="R105" s="640">
        <f>P105/$P$16</f>
        <v>6.8213157681506846</v>
      </c>
      <c r="S105" s="6"/>
      <c r="T105" s="34"/>
      <c r="U105" s="6"/>
      <c r="V105" s="6"/>
      <c r="X105" s="532"/>
      <c r="Y105" s="532"/>
      <c r="Z105" s="532"/>
      <c r="AA105" s="532"/>
      <c r="AB105" s="532"/>
      <c r="AC105" s="532"/>
      <c r="AD105" s="532"/>
      <c r="AE105" s="532"/>
      <c r="AF105" s="532"/>
      <c r="AG105" s="532"/>
      <c r="AH105" s="532"/>
      <c r="AI105" s="532"/>
      <c r="AJ105" s="532"/>
      <c r="AK105" s="532"/>
      <c r="AL105" s="532"/>
    </row>
    <row r="106" spans="1:38" ht="6" customHeight="1" x14ac:dyDescent="0.2">
      <c r="A106" s="532"/>
      <c r="M106" s="6"/>
      <c r="N106" s="6"/>
      <c r="O106" s="6"/>
      <c r="P106" s="34"/>
      <c r="Q106" s="6"/>
      <c r="R106" s="7"/>
      <c r="S106" s="6"/>
      <c r="T106" s="34"/>
      <c r="U106" s="6"/>
      <c r="V106" s="6"/>
      <c r="X106" s="532"/>
      <c r="Y106" s="532"/>
      <c r="Z106" s="532"/>
      <c r="AA106" s="532"/>
      <c r="AB106" s="532"/>
      <c r="AC106" s="532"/>
      <c r="AD106" s="532"/>
      <c r="AE106" s="532"/>
      <c r="AF106" s="532"/>
      <c r="AG106" s="532"/>
      <c r="AH106" s="532"/>
      <c r="AI106" s="532"/>
      <c r="AJ106" s="532"/>
      <c r="AK106" s="532"/>
      <c r="AL106" s="532"/>
    </row>
    <row r="107" spans="1:38" ht="12.75" x14ac:dyDescent="0.2">
      <c r="M107" s="6"/>
      <c r="N107" s="19" t="s">
        <v>28</v>
      </c>
      <c r="O107" s="6"/>
      <c r="P107" s="20" t="s">
        <v>29</v>
      </c>
      <c r="Q107" s="6"/>
      <c r="R107" s="7"/>
      <c r="S107" s="6"/>
      <c r="T107" s="20" t="s">
        <v>31</v>
      </c>
      <c r="U107" s="6"/>
      <c r="V107" s="6"/>
      <c r="X107" s="532"/>
      <c r="Y107" s="532"/>
      <c r="Z107" s="532"/>
      <c r="AA107" s="532"/>
      <c r="AB107" s="532"/>
      <c r="AC107" s="532"/>
      <c r="AD107" s="532"/>
      <c r="AE107" s="532"/>
      <c r="AF107" s="532"/>
      <c r="AG107" s="532"/>
      <c r="AH107" s="532"/>
      <c r="AI107" s="532"/>
      <c r="AJ107" s="532"/>
      <c r="AK107" s="532"/>
      <c r="AL107" s="532"/>
    </row>
    <row r="108" spans="1:38" ht="12.75" x14ac:dyDescent="0.2">
      <c r="M108" s="9"/>
      <c r="N108" s="6"/>
      <c r="O108" s="6"/>
      <c r="P108" s="21">
        <v>0.1</v>
      </c>
      <c r="Q108" s="6"/>
      <c r="R108" s="7" t="s">
        <v>30</v>
      </c>
      <c r="S108" s="6"/>
      <c r="T108" s="21">
        <v>0.1</v>
      </c>
      <c r="U108" s="6"/>
      <c r="V108" s="6"/>
      <c r="X108" s="532"/>
      <c r="Y108" s="532"/>
      <c r="Z108" s="532"/>
      <c r="AA108" s="532"/>
      <c r="AB108" s="532"/>
      <c r="AC108" s="532"/>
      <c r="AD108" s="532"/>
      <c r="AE108" s="532"/>
      <c r="AF108" s="532"/>
      <c r="AG108" s="532"/>
      <c r="AH108" s="532"/>
      <c r="AI108" s="532"/>
      <c r="AJ108" s="532"/>
      <c r="AK108" s="532"/>
      <c r="AL108" s="532"/>
    </row>
    <row r="109" spans="1:38" ht="12.75" x14ac:dyDescent="0.2">
      <c r="M109" s="9"/>
      <c r="N109" s="6"/>
      <c r="O109" s="6"/>
      <c r="P109" s="22"/>
      <c r="Q109" s="3"/>
      <c r="R109" s="2" t="s">
        <v>32</v>
      </c>
      <c r="S109" s="3"/>
      <c r="T109" s="22"/>
      <c r="U109" s="6"/>
      <c r="V109" s="6"/>
      <c r="X109" s="532"/>
      <c r="Y109" s="532"/>
      <c r="Z109" s="532"/>
      <c r="AA109" s="532"/>
      <c r="AB109" s="532"/>
      <c r="AC109" s="532"/>
      <c r="AD109" s="532"/>
      <c r="AE109" s="532"/>
      <c r="AF109" s="532"/>
      <c r="AG109" s="532"/>
      <c r="AH109" s="532"/>
      <c r="AI109" s="532"/>
      <c r="AJ109" s="532"/>
      <c r="AK109" s="532"/>
      <c r="AL109" s="532"/>
    </row>
    <row r="110" spans="1:38" ht="12.75" x14ac:dyDescent="0.2">
      <c r="M110" s="9"/>
      <c r="N110" s="23" t="s">
        <v>50</v>
      </c>
      <c r="O110" s="6"/>
      <c r="P110" s="83">
        <f>R110*(1-P108)</f>
        <v>65.7</v>
      </c>
      <c r="Q110" s="24"/>
      <c r="R110" s="25">
        <f>P16</f>
        <v>73</v>
      </c>
      <c r="S110" s="24"/>
      <c r="T110" s="83">
        <f>R110*(1+T108)</f>
        <v>80.300000000000011</v>
      </c>
      <c r="U110" s="6"/>
      <c r="V110" s="6"/>
      <c r="X110" s="532"/>
      <c r="Y110" s="532"/>
      <c r="Z110" s="532"/>
      <c r="AA110" s="532"/>
      <c r="AB110" s="532"/>
      <c r="AC110" s="532"/>
      <c r="AD110" s="532"/>
      <c r="AE110" s="532"/>
      <c r="AF110" s="532"/>
      <c r="AG110" s="532"/>
      <c r="AH110" s="532"/>
      <c r="AI110" s="532"/>
      <c r="AJ110" s="532"/>
      <c r="AK110" s="532"/>
      <c r="AL110" s="532"/>
    </row>
    <row r="111" spans="1:38" ht="6" customHeight="1" x14ac:dyDescent="0.2">
      <c r="M111" s="9"/>
      <c r="N111" s="6"/>
      <c r="O111" s="6"/>
      <c r="P111" s="34"/>
      <c r="Q111" s="6"/>
      <c r="R111" s="7"/>
      <c r="S111" s="6"/>
      <c r="T111" s="34"/>
      <c r="U111" s="6"/>
      <c r="V111" s="6"/>
      <c r="X111" s="532"/>
      <c r="Y111" s="532"/>
      <c r="Z111" s="532"/>
      <c r="AA111" s="532"/>
      <c r="AB111" s="532"/>
      <c r="AC111" s="532"/>
      <c r="AD111" s="532"/>
      <c r="AE111" s="532"/>
      <c r="AF111" s="532"/>
      <c r="AG111" s="532"/>
      <c r="AH111" s="532"/>
      <c r="AI111" s="532"/>
      <c r="AJ111" s="532"/>
      <c r="AK111" s="532"/>
      <c r="AL111" s="532"/>
    </row>
    <row r="112" spans="1:38" ht="12.75" x14ac:dyDescent="0.2">
      <c r="M112" s="9"/>
      <c r="N112" s="6" t="s">
        <v>51</v>
      </c>
      <c r="O112" s="6"/>
      <c r="P112" s="26">
        <f>$V$70/P110</f>
        <v>2.4218933304794517</v>
      </c>
      <c r="Q112" s="6"/>
      <c r="R112" s="26">
        <f>$V$70/R110</f>
        <v>2.1797039974315067</v>
      </c>
      <c r="S112" s="6"/>
      <c r="T112" s="26">
        <f>$V$70/T110</f>
        <v>1.9815490885740967</v>
      </c>
      <c r="U112" s="6"/>
      <c r="V112" s="6"/>
      <c r="X112" s="532"/>
      <c r="Y112" s="532"/>
      <c r="Z112" s="532"/>
      <c r="AA112" s="532"/>
      <c r="AB112" s="532"/>
      <c r="AC112" s="532"/>
      <c r="AD112" s="532"/>
      <c r="AE112" s="532"/>
      <c r="AF112" s="532"/>
      <c r="AG112" s="532"/>
      <c r="AH112" s="532"/>
      <c r="AI112" s="532"/>
      <c r="AJ112" s="532"/>
      <c r="AK112" s="532"/>
      <c r="AL112" s="532"/>
    </row>
    <row r="113" spans="12:38" ht="6" customHeight="1" x14ac:dyDescent="0.2">
      <c r="M113" s="9"/>
      <c r="N113" s="6"/>
      <c r="O113" s="6"/>
      <c r="P113" s="34"/>
      <c r="Q113" s="6"/>
      <c r="R113" s="7"/>
      <c r="S113" s="6"/>
      <c r="T113" s="34"/>
      <c r="U113" s="6"/>
      <c r="V113" s="6"/>
      <c r="X113" s="532"/>
      <c r="Y113" s="532"/>
      <c r="Z113" s="532"/>
      <c r="AA113" s="532"/>
      <c r="AB113" s="532"/>
      <c r="AC113" s="532"/>
      <c r="AD113" s="532"/>
      <c r="AE113" s="532"/>
      <c r="AF113" s="532"/>
      <c r="AG113" s="532"/>
      <c r="AH113" s="532"/>
      <c r="AI113" s="532"/>
      <c r="AJ113" s="532"/>
      <c r="AK113" s="532"/>
      <c r="AL113" s="532"/>
    </row>
    <row r="114" spans="12:38" ht="12.75" x14ac:dyDescent="0.2">
      <c r="M114" s="9"/>
      <c r="N114" s="6" t="s">
        <v>52</v>
      </c>
      <c r="O114" s="6"/>
      <c r="P114" s="26">
        <f>$V$88/P110</f>
        <v>5.1573464119101979</v>
      </c>
      <c r="Q114" s="6"/>
      <c r="R114" s="26">
        <f>$V$88/R110</f>
        <v>4.6416117707191784</v>
      </c>
      <c r="S114" s="6"/>
      <c r="T114" s="26">
        <f>$V$88/T110</f>
        <v>4.2196470642901618</v>
      </c>
      <c r="U114" s="6"/>
      <c r="V114" s="6"/>
      <c r="X114" s="532"/>
      <c r="Y114" s="532"/>
      <c r="Z114" s="532"/>
      <c r="AA114" s="532"/>
      <c r="AB114" s="532"/>
      <c r="AC114" s="532"/>
      <c r="AD114" s="532"/>
      <c r="AE114" s="532"/>
      <c r="AF114" s="532"/>
      <c r="AG114" s="532"/>
      <c r="AH114" s="532"/>
      <c r="AI114" s="532"/>
      <c r="AJ114" s="532"/>
      <c r="AK114" s="532"/>
      <c r="AL114" s="532"/>
    </row>
    <row r="115" spans="12:38" ht="6" customHeight="1" x14ac:dyDescent="0.2">
      <c r="M115" s="9"/>
      <c r="N115" s="6"/>
      <c r="O115" s="6"/>
      <c r="P115" s="34"/>
      <c r="Q115" s="6"/>
      <c r="R115" s="7"/>
      <c r="S115" s="6"/>
      <c r="T115" s="34"/>
      <c r="U115" s="6"/>
      <c r="V115" s="6"/>
      <c r="X115" s="532"/>
      <c r="Y115" s="532"/>
      <c r="Z115" s="532"/>
      <c r="AA115" s="532"/>
      <c r="AB115" s="532"/>
      <c r="AC115" s="532"/>
      <c r="AD115" s="532"/>
      <c r="AE115" s="532"/>
      <c r="AF115" s="532"/>
      <c r="AG115" s="532"/>
      <c r="AH115" s="532"/>
      <c r="AI115" s="532"/>
      <c r="AJ115" s="532"/>
      <c r="AK115" s="532"/>
      <c r="AL115" s="532"/>
    </row>
    <row r="116" spans="12:38" ht="12.75" x14ac:dyDescent="0.2">
      <c r="M116" s="9"/>
      <c r="N116" s="6" t="s">
        <v>61</v>
      </c>
      <c r="O116" s="6"/>
      <c r="P116" s="26">
        <f>$V$90/P110</f>
        <v>7.5792397423896496</v>
      </c>
      <c r="Q116" s="6"/>
      <c r="R116" s="26">
        <f>$V$90/R110</f>
        <v>6.8213157681506846</v>
      </c>
      <c r="S116" s="6"/>
      <c r="T116" s="26">
        <f>$V$90/T110</f>
        <v>6.2011961528642585</v>
      </c>
      <c r="U116" s="6"/>
      <c r="V116" s="6"/>
      <c r="X116" s="532"/>
      <c r="Y116" s="532"/>
      <c r="Z116" s="532"/>
      <c r="AA116" s="532"/>
      <c r="AB116" s="532"/>
      <c r="AC116" s="532"/>
      <c r="AD116" s="532"/>
      <c r="AE116" s="532"/>
      <c r="AF116" s="532"/>
      <c r="AG116" s="532"/>
      <c r="AH116" s="532"/>
      <c r="AI116" s="532"/>
      <c r="AJ116" s="532"/>
      <c r="AK116" s="532"/>
      <c r="AL116" s="532"/>
    </row>
    <row r="117" spans="12:38" ht="12.75" x14ac:dyDescent="0.2">
      <c r="M117" s="9"/>
      <c r="N117" s="9"/>
      <c r="O117" s="9"/>
      <c r="P117" s="58"/>
      <c r="Q117" s="9"/>
      <c r="R117" s="13"/>
      <c r="S117" s="9"/>
      <c r="T117" s="58"/>
      <c r="U117" s="9"/>
      <c r="V117" s="9"/>
      <c r="X117" s="532"/>
      <c r="Y117" s="532"/>
      <c r="Z117" s="532"/>
      <c r="AA117" s="532"/>
      <c r="AB117" s="532"/>
      <c r="AC117" s="532"/>
      <c r="AD117" s="532"/>
      <c r="AE117" s="532"/>
      <c r="AF117" s="532"/>
      <c r="AG117" s="532"/>
      <c r="AH117" s="532"/>
      <c r="AI117" s="532"/>
      <c r="AJ117" s="532"/>
      <c r="AK117" s="532"/>
      <c r="AL117" s="532"/>
    </row>
    <row r="118" spans="12:38" ht="12.75" x14ac:dyDescent="0.2">
      <c r="M118" s="9"/>
      <c r="N118" s="9"/>
      <c r="O118" s="9"/>
      <c r="P118" s="20" t="s">
        <v>29</v>
      </c>
      <c r="Q118" s="6"/>
      <c r="R118" s="7"/>
      <c r="S118" s="6"/>
      <c r="T118" s="20" t="s">
        <v>31</v>
      </c>
      <c r="U118" s="9"/>
      <c r="V118" s="9"/>
      <c r="X118" s="532"/>
      <c r="Y118" s="532"/>
      <c r="Z118" s="532"/>
      <c r="AA118" s="532"/>
      <c r="AB118" s="532"/>
      <c r="AC118" s="532"/>
      <c r="AD118" s="532"/>
      <c r="AE118" s="532"/>
      <c r="AF118" s="532"/>
      <c r="AG118" s="532"/>
      <c r="AH118" s="532"/>
      <c r="AI118" s="532"/>
      <c r="AJ118" s="532"/>
      <c r="AK118" s="532"/>
      <c r="AL118" s="532"/>
    </row>
    <row r="119" spans="12:38" ht="12.75" x14ac:dyDescent="0.2">
      <c r="M119" s="9"/>
      <c r="N119" s="6"/>
      <c r="O119" s="6"/>
      <c r="P119" s="21">
        <v>0.1</v>
      </c>
      <c r="Q119" s="6"/>
      <c r="R119" s="7" t="s">
        <v>30</v>
      </c>
      <c r="S119" s="6"/>
      <c r="T119" s="21">
        <v>0.1</v>
      </c>
      <c r="U119" s="6"/>
      <c r="V119" s="6"/>
      <c r="X119" s="532"/>
      <c r="Y119" s="532"/>
      <c r="Z119" s="532"/>
      <c r="AA119" s="532"/>
      <c r="AB119" s="532"/>
      <c r="AC119" s="532"/>
      <c r="AD119" s="532"/>
      <c r="AE119" s="532"/>
      <c r="AF119" s="532"/>
      <c r="AG119" s="532"/>
      <c r="AH119" s="532"/>
      <c r="AI119" s="532"/>
      <c r="AJ119" s="532"/>
      <c r="AK119" s="532"/>
      <c r="AL119" s="532"/>
    </row>
    <row r="120" spans="12:38" ht="12.75" x14ac:dyDescent="0.2">
      <c r="M120" s="9"/>
      <c r="N120" s="6"/>
      <c r="O120" s="6"/>
      <c r="P120" s="2"/>
      <c r="Q120" s="3"/>
      <c r="R120" s="4" t="s">
        <v>50</v>
      </c>
      <c r="S120" s="3"/>
      <c r="T120" s="2"/>
      <c r="U120" s="6"/>
      <c r="V120" s="6"/>
      <c r="X120" s="532"/>
      <c r="Y120" s="532"/>
      <c r="Z120" s="532"/>
      <c r="AA120" s="532"/>
      <c r="AB120" s="532"/>
      <c r="AC120" s="532"/>
      <c r="AD120" s="532"/>
      <c r="AE120" s="532"/>
      <c r="AF120" s="532"/>
      <c r="AG120" s="532"/>
      <c r="AH120" s="532"/>
      <c r="AI120" s="532"/>
      <c r="AJ120" s="532"/>
      <c r="AK120" s="532"/>
      <c r="AL120" s="532"/>
    </row>
    <row r="121" spans="12:38" ht="12.75" x14ac:dyDescent="0.2">
      <c r="M121" s="9"/>
      <c r="N121" s="23" t="s">
        <v>32</v>
      </c>
      <c r="O121" s="6"/>
      <c r="P121" s="27">
        <f>R121*(1-P119)</f>
        <v>6.8850000000000007</v>
      </c>
      <c r="Q121" s="24"/>
      <c r="R121" s="28">
        <f>T16</f>
        <v>7.65</v>
      </c>
      <c r="S121" s="24"/>
      <c r="T121" s="27">
        <f>R121*(1+T119)</f>
        <v>8.4150000000000009</v>
      </c>
      <c r="U121" s="6"/>
      <c r="V121" s="6"/>
      <c r="X121" s="532"/>
      <c r="Y121" s="532"/>
      <c r="Z121" s="532"/>
      <c r="AA121" s="532"/>
      <c r="AB121" s="532"/>
      <c r="AC121" s="532"/>
      <c r="AD121" s="532"/>
      <c r="AE121" s="532"/>
      <c r="AF121" s="532"/>
      <c r="AG121" s="532"/>
      <c r="AH121" s="532"/>
      <c r="AI121" s="532"/>
      <c r="AJ121" s="532"/>
      <c r="AK121" s="532"/>
      <c r="AL121" s="532"/>
    </row>
    <row r="122" spans="12:38" ht="6" customHeight="1" x14ac:dyDescent="0.2">
      <c r="M122" s="9"/>
      <c r="N122" s="6"/>
      <c r="O122" s="6"/>
      <c r="P122" s="34"/>
      <c r="Q122" s="6"/>
      <c r="R122" s="7"/>
      <c r="S122" s="6"/>
      <c r="T122" s="34"/>
      <c r="U122" s="6"/>
      <c r="V122" s="6"/>
      <c r="X122" s="532"/>
      <c r="Y122" s="532"/>
      <c r="Z122" s="532"/>
      <c r="AA122" s="532"/>
      <c r="AB122" s="532"/>
      <c r="AC122" s="532"/>
      <c r="AD122" s="532"/>
      <c r="AE122" s="532"/>
      <c r="AF122" s="532"/>
      <c r="AG122" s="532"/>
      <c r="AH122" s="532"/>
      <c r="AI122" s="532"/>
      <c r="AJ122" s="532"/>
      <c r="AK122" s="532"/>
      <c r="AL122" s="532"/>
    </row>
    <row r="123" spans="12:38" ht="12.75" x14ac:dyDescent="0.2">
      <c r="M123" s="9"/>
      <c r="N123" s="6" t="s">
        <v>51</v>
      </c>
      <c r="O123" s="6"/>
      <c r="P123" s="29">
        <f>$V$70/P121</f>
        <v>23.110877532679737</v>
      </c>
      <c r="Q123" s="6"/>
      <c r="R123" s="29">
        <f>$V$70/R121</f>
        <v>20.799789779411764</v>
      </c>
      <c r="S123" s="6"/>
      <c r="T123" s="29">
        <f>$V$70/T121</f>
        <v>18.908899799465239</v>
      </c>
      <c r="U123" s="6"/>
      <c r="V123" s="6"/>
      <c r="X123" s="532"/>
      <c r="Y123" s="532"/>
      <c r="Z123" s="532"/>
      <c r="AA123" s="532"/>
      <c r="AB123" s="532"/>
      <c r="AC123" s="532"/>
      <c r="AD123" s="532"/>
      <c r="AE123" s="532"/>
      <c r="AF123" s="532"/>
      <c r="AG123" s="532"/>
      <c r="AH123" s="532"/>
      <c r="AI123" s="532"/>
      <c r="AJ123" s="532"/>
      <c r="AK123" s="532"/>
      <c r="AL123" s="532"/>
    </row>
    <row r="124" spans="12:38" ht="6" customHeight="1" x14ac:dyDescent="0.2">
      <c r="M124" s="9"/>
      <c r="N124" s="6"/>
      <c r="O124" s="6"/>
      <c r="P124" s="34"/>
      <c r="Q124" s="6"/>
      <c r="R124" s="7"/>
      <c r="S124" s="6"/>
      <c r="T124" s="34"/>
      <c r="U124" s="6"/>
      <c r="V124" s="6"/>
      <c r="X124" s="532"/>
      <c r="Y124" s="532"/>
      <c r="Z124" s="532"/>
      <c r="AA124" s="532"/>
      <c r="AB124" s="532"/>
      <c r="AC124" s="532"/>
      <c r="AD124" s="532"/>
      <c r="AE124" s="532"/>
      <c r="AF124" s="532"/>
      <c r="AG124" s="532"/>
      <c r="AH124" s="532"/>
      <c r="AI124" s="532"/>
      <c r="AJ124" s="532"/>
      <c r="AK124" s="532"/>
      <c r="AL124" s="532"/>
    </row>
    <row r="125" spans="12:38" ht="12.75" x14ac:dyDescent="0.2">
      <c r="M125" s="9"/>
      <c r="N125" s="6" t="s">
        <v>52</v>
      </c>
      <c r="O125" s="6"/>
      <c r="P125" s="29">
        <f>$V$88/P121</f>
        <v>49.213893865286856</v>
      </c>
      <c r="Q125" s="6"/>
      <c r="R125" s="29">
        <f>$V$88/R121</f>
        <v>44.292504478758175</v>
      </c>
      <c r="S125" s="6"/>
      <c r="T125" s="29">
        <f>$V$88/T121</f>
        <v>40.265913162507431</v>
      </c>
      <c r="U125" s="6"/>
      <c r="V125" s="6"/>
      <c r="X125" s="532"/>
      <c r="Y125" s="532"/>
      <c r="Z125" s="532"/>
      <c r="AA125" s="532"/>
      <c r="AB125" s="532"/>
      <c r="AC125" s="532"/>
      <c r="AD125" s="532"/>
      <c r="AE125" s="532"/>
      <c r="AF125" s="532"/>
      <c r="AG125" s="532"/>
      <c r="AH125" s="532"/>
      <c r="AI125" s="532"/>
      <c r="AJ125" s="532"/>
      <c r="AK125" s="532"/>
      <c r="AL125" s="532"/>
    </row>
    <row r="126" spans="12:38" ht="6" customHeight="1" x14ac:dyDescent="0.2">
      <c r="M126" s="9"/>
      <c r="N126" s="6"/>
      <c r="O126" s="6"/>
      <c r="P126" s="34"/>
      <c r="Q126" s="6"/>
      <c r="R126" s="7"/>
      <c r="S126" s="6"/>
      <c r="T126" s="34"/>
      <c r="U126" s="6"/>
      <c r="V126" s="6"/>
      <c r="X126" s="532"/>
      <c r="Y126" s="532"/>
      <c r="Z126" s="532"/>
      <c r="AA126" s="532"/>
      <c r="AB126" s="532"/>
      <c r="AC126" s="532"/>
      <c r="AD126" s="532"/>
      <c r="AE126" s="532"/>
      <c r="AF126" s="532"/>
      <c r="AG126" s="532"/>
      <c r="AH126" s="532"/>
      <c r="AI126" s="532"/>
      <c r="AJ126" s="532"/>
      <c r="AK126" s="532"/>
      <c r="AL126" s="532"/>
    </row>
    <row r="127" spans="12:38" ht="15" x14ac:dyDescent="0.2">
      <c r="L127" s="92"/>
      <c r="M127" s="9"/>
      <c r="N127" s="6" t="s">
        <v>61</v>
      </c>
      <c r="O127" s="6"/>
      <c r="P127" s="29">
        <f>$V$90/P121</f>
        <v>72.324771397966586</v>
      </c>
      <c r="Q127" s="6"/>
      <c r="R127" s="29">
        <f>$V$90/R121</f>
        <v>65.092294258169929</v>
      </c>
      <c r="S127" s="6"/>
      <c r="T127" s="29">
        <f>$V$90/T121</f>
        <v>59.174812961972663</v>
      </c>
      <c r="U127" s="6"/>
      <c r="V127" s="6"/>
      <c r="X127" s="532"/>
      <c r="Y127" s="532"/>
      <c r="Z127" s="532"/>
      <c r="AA127" s="532"/>
      <c r="AB127" s="532"/>
      <c r="AC127" s="532"/>
      <c r="AD127" s="532"/>
      <c r="AE127" s="532"/>
      <c r="AF127" s="532"/>
      <c r="AG127" s="532"/>
      <c r="AH127" s="532"/>
      <c r="AI127" s="532"/>
      <c r="AJ127" s="532"/>
      <c r="AK127" s="532"/>
      <c r="AL127" s="532"/>
    </row>
    <row r="128" spans="12:38" ht="14.25" x14ac:dyDescent="0.2">
      <c r="L128" s="184"/>
      <c r="M128" s="532"/>
      <c r="N128" s="532"/>
      <c r="O128" s="532"/>
      <c r="P128" s="90"/>
      <c r="Q128" s="532"/>
      <c r="R128" s="219"/>
      <c r="S128" s="532"/>
      <c r="T128" s="90"/>
      <c r="U128" s="532"/>
      <c r="V128" s="532"/>
      <c r="X128" s="532"/>
      <c r="Y128" s="532"/>
      <c r="Z128" s="532"/>
      <c r="AA128" s="532"/>
      <c r="AB128" s="532"/>
      <c r="AC128" s="532"/>
      <c r="AD128" s="532"/>
      <c r="AE128" s="532"/>
      <c r="AF128" s="532"/>
      <c r="AG128" s="532"/>
      <c r="AH128" s="532"/>
      <c r="AI128" s="532"/>
      <c r="AJ128" s="532"/>
      <c r="AK128" s="532"/>
      <c r="AL128" s="532"/>
    </row>
    <row r="129" spans="13:36" ht="12.95" customHeight="1" x14ac:dyDescent="0.2">
      <c r="M129" s="532"/>
      <c r="N129" s="532"/>
      <c r="O129" s="532"/>
      <c r="P129" s="90"/>
      <c r="Q129" s="532"/>
      <c r="R129" s="219"/>
      <c r="S129" s="532"/>
      <c r="T129" s="90"/>
      <c r="U129" s="532"/>
      <c r="V129" s="532"/>
      <c r="W129" s="532"/>
      <c r="X129" s="532"/>
      <c r="Y129" s="532"/>
      <c r="Z129" s="532"/>
      <c r="AA129" s="532"/>
      <c r="AB129" s="532"/>
      <c r="AC129" s="532"/>
      <c r="AD129" s="532"/>
      <c r="AE129" s="532"/>
      <c r="AF129" s="532"/>
      <c r="AG129" s="532"/>
      <c r="AH129" s="532"/>
      <c r="AI129" s="532"/>
      <c r="AJ129" s="532"/>
    </row>
    <row r="130" spans="13:36" ht="12.95" customHeight="1" x14ac:dyDescent="0.2">
      <c r="M130" s="532"/>
      <c r="N130" s="532"/>
      <c r="O130" s="532"/>
      <c r="P130" s="90"/>
      <c r="Q130" s="532"/>
      <c r="R130" s="219"/>
      <c r="S130" s="532"/>
      <c r="T130" s="90"/>
      <c r="U130" s="532"/>
      <c r="V130" s="532"/>
      <c r="W130" s="532"/>
      <c r="X130" s="532"/>
      <c r="Y130" s="532"/>
      <c r="Z130" s="532"/>
      <c r="AA130" s="532"/>
      <c r="AB130" s="532"/>
      <c r="AC130" s="532"/>
      <c r="AD130" s="532"/>
      <c r="AE130" s="532"/>
      <c r="AF130" s="532"/>
      <c r="AG130" s="532"/>
      <c r="AH130" s="532"/>
      <c r="AI130" s="532"/>
      <c r="AJ130" s="532"/>
    </row>
    <row r="131" spans="13:36" ht="12.95" customHeight="1" x14ac:dyDescent="0.2">
      <c r="M131" s="532"/>
      <c r="N131" s="532"/>
      <c r="O131" s="532"/>
      <c r="P131" s="90"/>
      <c r="Q131" s="532"/>
      <c r="R131" s="219"/>
      <c r="S131" s="532"/>
      <c r="T131" s="90"/>
      <c r="U131" s="532"/>
      <c r="V131" s="532"/>
      <c r="W131" s="532"/>
      <c r="X131" s="532"/>
      <c r="Y131" s="532"/>
      <c r="Z131" s="532"/>
      <c r="AA131" s="532"/>
      <c r="AB131" s="532"/>
      <c r="AC131" s="532"/>
      <c r="AD131" s="532"/>
      <c r="AE131" s="532"/>
      <c r="AF131" s="532"/>
      <c r="AG131" s="532"/>
      <c r="AH131" s="532"/>
      <c r="AI131" s="532"/>
      <c r="AJ131" s="532"/>
    </row>
    <row r="132" spans="13:36" ht="12.95" customHeight="1" x14ac:dyDescent="0.2">
      <c r="M132" s="532"/>
      <c r="N132" s="532"/>
      <c r="O132" s="532"/>
      <c r="P132" s="90"/>
      <c r="Q132" s="532"/>
      <c r="R132" s="219"/>
      <c r="S132" s="532"/>
      <c r="T132" s="90"/>
      <c r="U132" s="532"/>
      <c r="V132" s="532"/>
      <c r="W132" s="532"/>
      <c r="X132" s="532"/>
      <c r="Y132" s="532"/>
      <c r="Z132" s="532"/>
      <c r="AA132" s="532"/>
      <c r="AB132" s="532"/>
      <c r="AC132" s="532"/>
      <c r="AD132" s="532"/>
      <c r="AE132" s="532"/>
      <c r="AF132" s="532"/>
      <c r="AG132" s="532"/>
      <c r="AH132" s="532"/>
      <c r="AI132" s="532"/>
      <c r="AJ132" s="532"/>
    </row>
    <row r="133" spans="13:36" ht="12.95" customHeight="1" x14ac:dyDescent="0.2">
      <c r="M133" s="532"/>
      <c r="N133" s="532"/>
      <c r="O133" s="532"/>
      <c r="P133" s="90"/>
      <c r="Q133" s="532"/>
      <c r="R133" s="219"/>
      <c r="S133" s="532"/>
      <c r="T133" s="90"/>
      <c r="U133" s="532"/>
      <c r="V133" s="532"/>
      <c r="W133" s="532"/>
      <c r="X133" s="532"/>
      <c r="Y133" s="532"/>
      <c r="Z133" s="532"/>
      <c r="AA133" s="532"/>
      <c r="AB133" s="532"/>
      <c r="AC133" s="532"/>
      <c r="AD133" s="532"/>
      <c r="AE133" s="532"/>
      <c r="AF133" s="532"/>
      <c r="AG133" s="532"/>
      <c r="AH133" s="532"/>
      <c r="AI133" s="532"/>
      <c r="AJ133" s="532"/>
    </row>
    <row r="134" spans="13:36" ht="12.95" customHeight="1" x14ac:dyDescent="0.2">
      <c r="M134" s="532"/>
      <c r="N134" s="532"/>
      <c r="O134" s="532"/>
      <c r="P134" s="90"/>
      <c r="Q134" s="532"/>
      <c r="R134" s="219"/>
      <c r="S134" s="532"/>
      <c r="T134" s="90"/>
      <c r="U134" s="532"/>
      <c r="V134" s="532"/>
      <c r="W134" s="532"/>
      <c r="X134" s="532"/>
      <c r="Y134" s="532"/>
      <c r="Z134" s="532"/>
      <c r="AA134" s="532"/>
      <c r="AB134" s="532"/>
      <c r="AC134" s="532"/>
      <c r="AD134" s="532"/>
      <c r="AE134" s="532"/>
      <c r="AF134" s="532"/>
      <c r="AG134" s="532"/>
      <c r="AH134" s="532"/>
      <c r="AI134" s="532"/>
      <c r="AJ134" s="532"/>
    </row>
    <row r="135" spans="13:36" ht="12.95" customHeight="1" x14ac:dyDescent="0.2">
      <c r="M135" s="532"/>
      <c r="N135" s="532"/>
      <c r="O135" s="532"/>
      <c r="P135" s="90"/>
      <c r="Q135" s="532"/>
      <c r="R135" s="219"/>
      <c r="S135" s="532"/>
      <c r="T135" s="90"/>
      <c r="U135" s="532"/>
      <c r="V135" s="532"/>
      <c r="W135" s="532"/>
      <c r="X135" s="532"/>
      <c r="Y135" s="532"/>
      <c r="Z135" s="532"/>
      <c r="AA135" s="532"/>
      <c r="AB135" s="532"/>
      <c r="AC135" s="532"/>
      <c r="AD135" s="532"/>
      <c r="AE135" s="532"/>
      <c r="AF135" s="532"/>
      <c r="AG135" s="532"/>
      <c r="AH135" s="532"/>
      <c r="AI135" s="532"/>
      <c r="AJ135" s="532"/>
    </row>
    <row r="136" spans="13:36" ht="12.95" customHeight="1" x14ac:dyDescent="0.2">
      <c r="M136" s="532"/>
      <c r="N136" s="532"/>
      <c r="O136" s="532"/>
      <c r="P136" s="90"/>
      <c r="Q136" s="532"/>
      <c r="R136" s="219"/>
      <c r="S136" s="532"/>
      <c r="T136" s="90"/>
      <c r="U136" s="532"/>
      <c r="V136" s="532"/>
      <c r="W136" s="532"/>
      <c r="X136" s="532"/>
      <c r="Y136" s="532"/>
      <c r="Z136" s="532"/>
      <c r="AA136" s="532"/>
      <c r="AB136" s="532"/>
      <c r="AC136" s="532"/>
      <c r="AD136" s="532"/>
      <c r="AE136" s="532"/>
      <c r="AF136" s="532"/>
      <c r="AG136" s="532"/>
      <c r="AH136" s="532"/>
      <c r="AI136" s="532"/>
      <c r="AJ136" s="532"/>
    </row>
    <row r="137" spans="13:36" ht="12.95" customHeight="1" x14ac:dyDescent="0.2">
      <c r="M137" s="532"/>
      <c r="N137" s="532"/>
      <c r="O137" s="532"/>
      <c r="P137" s="90"/>
      <c r="Q137" s="532"/>
      <c r="R137" s="219"/>
      <c r="S137" s="532"/>
      <c r="T137" s="90"/>
      <c r="U137" s="532"/>
      <c r="V137" s="532"/>
      <c r="W137" s="532"/>
      <c r="X137" s="532"/>
      <c r="Y137" s="532"/>
      <c r="Z137" s="532"/>
      <c r="AA137" s="532"/>
      <c r="AB137" s="532"/>
      <c r="AC137" s="532"/>
      <c r="AD137" s="532"/>
      <c r="AE137" s="532"/>
      <c r="AF137" s="532"/>
      <c r="AG137" s="532"/>
      <c r="AH137" s="532"/>
      <c r="AI137" s="532"/>
      <c r="AJ137" s="532"/>
    </row>
    <row r="138" spans="13:36" ht="12.95" customHeight="1" x14ac:dyDescent="0.2">
      <c r="M138" s="532"/>
      <c r="N138" s="532"/>
      <c r="O138" s="532"/>
      <c r="P138" s="90"/>
      <c r="Q138" s="532"/>
      <c r="R138" s="219"/>
      <c r="S138" s="532"/>
      <c r="T138" s="90"/>
      <c r="U138" s="532"/>
      <c r="V138" s="532"/>
      <c r="W138" s="532"/>
      <c r="X138" s="532"/>
      <c r="Y138" s="532"/>
      <c r="Z138" s="532"/>
      <c r="AA138" s="532"/>
      <c r="AB138" s="532"/>
      <c r="AC138" s="532"/>
      <c r="AD138" s="532"/>
      <c r="AE138" s="532"/>
      <c r="AF138" s="532"/>
      <c r="AG138" s="532"/>
      <c r="AH138" s="532"/>
      <c r="AI138" s="532"/>
      <c r="AJ138" s="532"/>
    </row>
    <row r="139" spans="13:36" ht="12.95" customHeight="1" x14ac:dyDescent="0.2">
      <c r="M139" s="532"/>
      <c r="N139" s="532"/>
      <c r="O139" s="532"/>
      <c r="P139" s="90"/>
      <c r="Q139" s="532"/>
      <c r="R139" s="219"/>
      <c r="S139" s="532"/>
      <c r="T139" s="90"/>
      <c r="U139" s="532"/>
      <c r="V139" s="532"/>
      <c r="W139" s="532"/>
      <c r="X139" s="532"/>
      <c r="Y139" s="532"/>
      <c r="Z139" s="532"/>
      <c r="AA139" s="532"/>
      <c r="AB139" s="532"/>
      <c r="AC139" s="532"/>
      <c r="AD139" s="532"/>
      <c r="AE139" s="532"/>
      <c r="AF139" s="532"/>
      <c r="AG139" s="532"/>
      <c r="AH139" s="532"/>
      <c r="AI139" s="532"/>
      <c r="AJ139" s="532"/>
    </row>
    <row r="140" spans="13:36" ht="12.95" customHeight="1" x14ac:dyDescent="0.2">
      <c r="M140" s="532"/>
      <c r="N140" s="532"/>
      <c r="O140" s="532"/>
      <c r="P140" s="90"/>
      <c r="Q140" s="532"/>
      <c r="R140" s="219"/>
      <c r="S140" s="532"/>
      <c r="T140" s="90"/>
      <c r="U140" s="532"/>
      <c r="V140" s="532"/>
      <c r="W140" s="532"/>
      <c r="X140" s="532"/>
      <c r="Y140" s="532"/>
      <c r="Z140" s="532"/>
      <c r="AA140" s="532"/>
      <c r="AB140" s="532"/>
      <c r="AC140" s="532"/>
      <c r="AD140" s="532"/>
      <c r="AE140" s="532"/>
      <c r="AF140" s="532"/>
      <c r="AG140" s="532"/>
      <c r="AH140" s="532"/>
      <c r="AI140" s="532"/>
      <c r="AJ140" s="532"/>
    </row>
    <row r="141" spans="13:36" ht="12.95" customHeight="1" x14ac:dyDescent="0.2">
      <c r="M141" s="532"/>
      <c r="N141" s="532"/>
      <c r="O141" s="532"/>
      <c r="P141" s="90"/>
      <c r="Q141" s="532"/>
      <c r="R141" s="219"/>
      <c r="S141" s="532"/>
      <c r="T141" s="90"/>
      <c r="U141" s="532"/>
      <c r="V141" s="532"/>
      <c r="W141" s="532"/>
      <c r="X141" s="532"/>
      <c r="Y141" s="532"/>
      <c r="Z141" s="532"/>
      <c r="AA141" s="532"/>
      <c r="AB141" s="532"/>
      <c r="AC141" s="532"/>
      <c r="AD141" s="532"/>
      <c r="AE141" s="532"/>
      <c r="AF141" s="532"/>
      <c r="AG141" s="532"/>
      <c r="AH141" s="532"/>
      <c r="AI141" s="532"/>
      <c r="AJ141" s="532"/>
    </row>
    <row r="142" spans="13:36" ht="12.95" customHeight="1" x14ac:dyDescent="0.2">
      <c r="M142" s="532"/>
      <c r="N142" s="532"/>
      <c r="O142" s="532"/>
      <c r="P142" s="90"/>
      <c r="Q142" s="532"/>
      <c r="R142" s="219"/>
      <c r="S142" s="532"/>
      <c r="T142" s="90"/>
      <c r="U142" s="532"/>
      <c r="V142" s="532"/>
      <c r="W142" s="532"/>
      <c r="X142" s="532"/>
      <c r="Y142" s="532"/>
      <c r="Z142" s="532"/>
      <c r="AA142" s="532"/>
      <c r="AB142" s="532"/>
      <c r="AC142" s="532"/>
      <c r="AD142" s="532"/>
      <c r="AE142" s="532"/>
      <c r="AF142" s="532"/>
      <c r="AG142" s="532"/>
      <c r="AH142" s="532"/>
      <c r="AI142" s="532"/>
      <c r="AJ142" s="532"/>
    </row>
    <row r="143" spans="13:36" ht="12.95" customHeight="1" x14ac:dyDescent="0.2">
      <c r="M143" s="532"/>
      <c r="N143" s="532"/>
      <c r="O143" s="532"/>
      <c r="P143" s="90"/>
      <c r="Q143" s="532"/>
      <c r="R143" s="219"/>
      <c r="S143" s="532"/>
      <c r="T143" s="90"/>
      <c r="U143" s="532"/>
      <c r="V143" s="532"/>
      <c r="W143" s="532"/>
      <c r="X143" s="532"/>
      <c r="Y143" s="532"/>
      <c r="Z143" s="532"/>
      <c r="AA143" s="532"/>
      <c r="AB143" s="532"/>
      <c r="AC143" s="532"/>
      <c r="AD143" s="532"/>
      <c r="AE143" s="532"/>
      <c r="AF143" s="532"/>
      <c r="AG143" s="532"/>
      <c r="AH143" s="532"/>
      <c r="AI143" s="532"/>
      <c r="AJ143" s="532"/>
    </row>
    <row r="144" spans="13:36" ht="12.95" customHeight="1" x14ac:dyDescent="0.2">
      <c r="M144" s="532"/>
      <c r="N144" s="532"/>
      <c r="O144" s="532"/>
      <c r="P144" s="90"/>
      <c r="Q144" s="532"/>
      <c r="R144" s="219"/>
      <c r="S144" s="532"/>
      <c r="T144" s="90"/>
      <c r="U144" s="532"/>
      <c r="V144" s="532"/>
      <c r="W144" s="532"/>
      <c r="X144" s="532"/>
      <c r="Y144" s="532"/>
      <c r="Z144" s="532"/>
      <c r="AA144" s="532"/>
      <c r="AB144" s="532"/>
      <c r="AC144" s="532"/>
      <c r="AD144" s="532"/>
      <c r="AE144" s="532"/>
      <c r="AF144" s="532"/>
      <c r="AG144" s="532"/>
      <c r="AH144" s="532"/>
      <c r="AI144" s="532"/>
      <c r="AJ144" s="532"/>
    </row>
    <row r="145" spans="13:36" ht="12.95" customHeight="1" x14ac:dyDescent="0.2">
      <c r="M145" s="532"/>
      <c r="N145" s="532"/>
      <c r="O145" s="532"/>
      <c r="P145" s="90"/>
      <c r="Q145" s="532"/>
      <c r="R145" s="219"/>
      <c r="S145" s="532"/>
      <c r="T145" s="90"/>
      <c r="U145" s="532"/>
      <c r="V145" s="532"/>
      <c r="W145" s="532"/>
      <c r="X145" s="532"/>
      <c r="Y145" s="532"/>
      <c r="Z145" s="532"/>
      <c r="AA145" s="532"/>
      <c r="AB145" s="532"/>
      <c r="AC145" s="532"/>
      <c r="AD145" s="532"/>
      <c r="AE145" s="532"/>
      <c r="AF145" s="532"/>
      <c r="AG145" s="532"/>
      <c r="AH145" s="532"/>
      <c r="AI145" s="532"/>
      <c r="AJ145" s="532"/>
    </row>
    <row r="146" spans="13:36" ht="12.95" customHeight="1" x14ac:dyDescent="0.2">
      <c r="M146" s="532"/>
      <c r="N146" s="532"/>
      <c r="O146" s="532"/>
      <c r="P146" s="90"/>
      <c r="Q146" s="532"/>
      <c r="R146" s="219"/>
      <c r="S146" s="532"/>
      <c r="T146" s="90"/>
      <c r="U146" s="532"/>
      <c r="V146" s="532"/>
      <c r="W146" s="532"/>
      <c r="X146" s="532"/>
      <c r="Y146" s="532"/>
      <c r="Z146" s="532"/>
      <c r="AA146" s="532"/>
      <c r="AB146" s="532"/>
      <c r="AC146" s="532"/>
      <c r="AD146" s="532"/>
      <c r="AE146" s="532"/>
      <c r="AF146" s="532"/>
      <c r="AG146" s="532"/>
      <c r="AH146" s="532"/>
      <c r="AI146" s="532"/>
      <c r="AJ146" s="532"/>
    </row>
    <row r="147" spans="13:36" ht="12.95" customHeight="1" x14ac:dyDescent="0.2">
      <c r="M147" s="532"/>
      <c r="N147" s="532"/>
      <c r="O147" s="532"/>
      <c r="P147" s="90"/>
      <c r="Q147" s="532"/>
      <c r="R147" s="219"/>
      <c r="S147" s="532"/>
      <c r="T147" s="90"/>
      <c r="U147" s="532"/>
      <c r="V147" s="532"/>
      <c r="W147" s="532"/>
      <c r="X147" s="532"/>
      <c r="Y147" s="532"/>
      <c r="Z147" s="532"/>
      <c r="AA147" s="532"/>
      <c r="AB147" s="532"/>
      <c r="AC147" s="532"/>
      <c r="AD147" s="532"/>
      <c r="AE147" s="532"/>
      <c r="AF147" s="532"/>
      <c r="AG147" s="532"/>
      <c r="AH147" s="532"/>
      <c r="AI147" s="532"/>
      <c r="AJ147" s="532"/>
    </row>
    <row r="148" spans="13:36" ht="12.95" customHeight="1" x14ac:dyDescent="0.2">
      <c r="M148" s="532"/>
      <c r="N148" s="532"/>
      <c r="O148" s="532"/>
      <c r="P148" s="90"/>
      <c r="Q148" s="532"/>
      <c r="R148" s="219"/>
      <c r="S148" s="532"/>
      <c r="T148" s="90"/>
      <c r="U148" s="532"/>
      <c r="V148" s="532"/>
      <c r="W148" s="532"/>
      <c r="X148" s="532"/>
      <c r="Y148" s="532"/>
      <c r="Z148" s="532"/>
      <c r="AA148" s="532"/>
      <c r="AB148" s="532"/>
      <c r="AC148" s="532"/>
      <c r="AD148" s="532"/>
      <c r="AE148" s="532"/>
      <c r="AF148" s="532"/>
      <c r="AG148" s="532"/>
      <c r="AH148" s="532"/>
      <c r="AI148" s="532"/>
      <c r="AJ148" s="532"/>
    </row>
    <row r="149" spans="13:36" ht="12.95" customHeight="1" x14ac:dyDescent="0.2">
      <c r="M149" s="532"/>
      <c r="N149" s="532"/>
      <c r="O149" s="532"/>
      <c r="P149" s="90"/>
      <c r="Q149" s="532"/>
      <c r="R149" s="219"/>
      <c r="S149" s="532"/>
      <c r="T149" s="90"/>
      <c r="U149" s="532"/>
      <c r="V149" s="532"/>
      <c r="W149" s="532"/>
      <c r="X149" s="532"/>
      <c r="Y149" s="532"/>
      <c r="Z149" s="532"/>
      <c r="AA149" s="532"/>
      <c r="AB149" s="532"/>
      <c r="AC149" s="532"/>
      <c r="AD149" s="532"/>
      <c r="AE149" s="532"/>
      <c r="AF149" s="532"/>
      <c r="AG149" s="532"/>
      <c r="AH149" s="532"/>
      <c r="AI149" s="532"/>
      <c r="AJ149" s="532"/>
    </row>
    <row r="150" spans="13:36" ht="12.95" customHeight="1" x14ac:dyDescent="0.2">
      <c r="M150" s="532"/>
      <c r="N150" s="532"/>
      <c r="O150" s="532"/>
      <c r="P150" s="90"/>
      <c r="Q150" s="532"/>
      <c r="R150" s="219"/>
      <c r="S150" s="532"/>
      <c r="T150" s="90"/>
      <c r="U150" s="532"/>
      <c r="V150" s="532"/>
      <c r="W150" s="532"/>
      <c r="X150" s="532"/>
      <c r="Y150" s="532"/>
      <c r="Z150" s="532"/>
      <c r="AA150" s="532"/>
      <c r="AB150" s="532"/>
      <c r="AC150" s="532"/>
      <c r="AD150" s="532"/>
      <c r="AE150" s="532"/>
      <c r="AF150" s="532"/>
      <c r="AG150" s="532"/>
      <c r="AH150" s="532"/>
      <c r="AI150" s="532"/>
      <c r="AJ150" s="532"/>
    </row>
    <row r="151" spans="13:36" ht="12.95" customHeight="1" x14ac:dyDescent="0.2">
      <c r="M151" s="532"/>
      <c r="N151" s="532"/>
      <c r="O151" s="532"/>
      <c r="P151" s="90"/>
      <c r="Q151" s="532"/>
      <c r="R151" s="219"/>
      <c r="S151" s="532"/>
      <c r="T151" s="90"/>
      <c r="U151" s="532"/>
      <c r="V151" s="532"/>
      <c r="W151" s="532"/>
      <c r="X151" s="532"/>
      <c r="Y151" s="532"/>
      <c r="Z151" s="532"/>
      <c r="AA151" s="532"/>
      <c r="AB151" s="532"/>
      <c r="AC151" s="532"/>
      <c r="AD151" s="532"/>
      <c r="AE151" s="532"/>
      <c r="AF151" s="532"/>
      <c r="AG151" s="532"/>
      <c r="AH151" s="532"/>
      <c r="AI151" s="532"/>
      <c r="AJ151" s="532"/>
    </row>
    <row r="152" spans="13:36" ht="12.95" customHeight="1" x14ac:dyDescent="0.2">
      <c r="M152" s="532"/>
      <c r="N152" s="532"/>
      <c r="O152" s="532"/>
      <c r="P152" s="90"/>
      <c r="Q152" s="532"/>
      <c r="R152" s="219"/>
      <c r="S152" s="532"/>
      <c r="T152" s="90"/>
      <c r="U152" s="532"/>
      <c r="V152" s="532"/>
      <c r="W152" s="532"/>
      <c r="X152" s="532"/>
      <c r="Y152" s="532"/>
      <c r="Z152" s="532"/>
      <c r="AA152" s="532"/>
      <c r="AB152" s="532"/>
      <c r="AC152" s="532"/>
      <c r="AD152" s="532"/>
      <c r="AE152" s="532"/>
      <c r="AF152" s="532"/>
      <c r="AG152" s="532"/>
      <c r="AH152" s="532"/>
      <c r="AI152" s="532"/>
      <c r="AJ152" s="532"/>
    </row>
    <row r="153" spans="13:36" ht="12.95" customHeight="1" x14ac:dyDescent="0.2">
      <c r="M153" s="532"/>
      <c r="N153" s="532"/>
      <c r="O153" s="532"/>
      <c r="P153" s="90"/>
      <c r="Q153" s="532"/>
      <c r="R153" s="219"/>
      <c r="S153" s="532"/>
      <c r="T153" s="90"/>
      <c r="U153" s="532"/>
      <c r="V153" s="532"/>
      <c r="W153" s="532"/>
      <c r="X153" s="532"/>
      <c r="Y153" s="532"/>
      <c r="Z153" s="532"/>
      <c r="AA153" s="532"/>
      <c r="AB153" s="532"/>
      <c r="AC153" s="532"/>
      <c r="AD153" s="532"/>
      <c r="AE153" s="532"/>
      <c r="AF153" s="532"/>
      <c r="AG153" s="532"/>
      <c r="AH153" s="532"/>
      <c r="AI153" s="532"/>
      <c r="AJ153" s="532"/>
    </row>
    <row r="154" spans="13:36" ht="12.95" customHeight="1" x14ac:dyDescent="0.2">
      <c r="M154" s="532"/>
      <c r="N154" s="532"/>
      <c r="O154" s="532"/>
      <c r="P154" s="90"/>
      <c r="Q154" s="532"/>
      <c r="R154" s="219"/>
      <c r="S154" s="532"/>
      <c r="T154" s="90"/>
      <c r="U154" s="532"/>
      <c r="V154" s="532"/>
      <c r="W154" s="532"/>
      <c r="X154" s="532"/>
      <c r="Y154" s="532"/>
      <c r="Z154" s="532"/>
      <c r="AA154" s="532"/>
      <c r="AB154" s="532"/>
      <c r="AC154" s="532"/>
      <c r="AD154" s="532"/>
      <c r="AE154" s="532"/>
      <c r="AF154" s="532"/>
      <c r="AG154" s="532"/>
      <c r="AH154" s="532"/>
      <c r="AI154" s="532"/>
      <c r="AJ154" s="532"/>
    </row>
    <row r="155" spans="13:36" ht="12.95" customHeight="1" x14ac:dyDescent="0.2">
      <c r="M155" s="532"/>
      <c r="N155" s="532"/>
      <c r="O155" s="532"/>
      <c r="P155" s="90"/>
      <c r="Q155" s="532"/>
      <c r="R155" s="219"/>
      <c r="S155" s="532"/>
      <c r="T155" s="90"/>
      <c r="U155" s="532"/>
      <c r="V155" s="532"/>
      <c r="W155" s="532"/>
      <c r="X155" s="532"/>
      <c r="Y155" s="532"/>
      <c r="Z155" s="532"/>
      <c r="AA155" s="532"/>
      <c r="AB155" s="532"/>
      <c r="AC155" s="532"/>
      <c r="AD155" s="532"/>
      <c r="AE155" s="532"/>
      <c r="AF155" s="532"/>
      <c r="AG155" s="532"/>
      <c r="AH155" s="532"/>
      <c r="AI155" s="532"/>
      <c r="AJ155" s="532"/>
    </row>
    <row r="156" spans="13:36" ht="12.95" customHeight="1" x14ac:dyDescent="0.2">
      <c r="M156" s="532"/>
      <c r="N156" s="532"/>
      <c r="O156" s="532"/>
      <c r="P156" s="90"/>
      <c r="Q156" s="532"/>
      <c r="R156" s="219"/>
      <c r="S156" s="532"/>
      <c r="T156" s="90"/>
      <c r="U156" s="532"/>
      <c r="V156" s="532"/>
      <c r="W156" s="532"/>
      <c r="X156" s="532"/>
      <c r="Y156" s="532"/>
      <c r="Z156" s="532"/>
      <c r="AA156" s="532"/>
      <c r="AB156" s="532"/>
      <c r="AC156" s="532"/>
      <c r="AD156" s="532"/>
      <c r="AE156" s="532"/>
      <c r="AF156" s="532"/>
      <c r="AG156" s="532"/>
      <c r="AH156" s="532"/>
      <c r="AI156" s="532"/>
      <c r="AJ156" s="532"/>
    </row>
    <row r="157" spans="13:36" ht="12.95" customHeight="1" x14ac:dyDescent="0.2">
      <c r="M157" s="532"/>
      <c r="N157" s="532"/>
      <c r="O157" s="532"/>
      <c r="P157" s="90"/>
      <c r="Q157" s="532"/>
      <c r="R157" s="219"/>
      <c r="S157" s="532"/>
      <c r="T157" s="90"/>
      <c r="U157" s="532"/>
      <c r="V157" s="532"/>
      <c r="W157" s="532"/>
      <c r="X157" s="532"/>
      <c r="Y157" s="532"/>
      <c r="Z157" s="532"/>
      <c r="AA157" s="532"/>
      <c r="AB157" s="532"/>
      <c r="AC157" s="532"/>
      <c r="AD157" s="532"/>
      <c r="AE157" s="532"/>
      <c r="AF157" s="532"/>
      <c r="AG157" s="532"/>
      <c r="AH157" s="532"/>
      <c r="AI157" s="532"/>
      <c r="AJ157" s="532"/>
    </row>
    <row r="158" spans="13:36" ht="12.95" customHeight="1" x14ac:dyDescent="0.2">
      <c r="M158" s="532"/>
      <c r="N158" s="532"/>
      <c r="O158" s="532"/>
      <c r="P158" s="90"/>
      <c r="Q158" s="532"/>
      <c r="R158" s="219"/>
      <c r="S158" s="532"/>
      <c r="T158" s="90"/>
      <c r="U158" s="532"/>
      <c r="V158" s="532"/>
      <c r="W158" s="532"/>
      <c r="X158" s="532"/>
      <c r="Y158" s="532"/>
      <c r="Z158" s="532"/>
      <c r="AA158" s="532"/>
      <c r="AB158" s="532"/>
      <c r="AC158" s="532"/>
      <c r="AD158" s="532"/>
      <c r="AE158" s="532"/>
      <c r="AF158" s="532"/>
      <c r="AG158" s="532"/>
      <c r="AH158" s="532"/>
      <c r="AI158" s="532"/>
      <c r="AJ158" s="532"/>
    </row>
    <row r="159" spans="13:36" ht="12.95" customHeight="1" x14ac:dyDescent="0.2">
      <c r="M159" s="532"/>
      <c r="N159" s="532"/>
      <c r="O159" s="532"/>
      <c r="P159" s="90"/>
      <c r="Q159" s="532"/>
      <c r="R159" s="219"/>
      <c r="S159" s="532"/>
      <c r="T159" s="90"/>
      <c r="U159" s="532"/>
      <c r="V159" s="532"/>
      <c r="W159" s="532"/>
      <c r="X159" s="532"/>
      <c r="Y159" s="532"/>
      <c r="Z159" s="532"/>
      <c r="AA159" s="532"/>
      <c r="AB159" s="532"/>
      <c r="AC159" s="532"/>
      <c r="AD159" s="532"/>
      <c r="AE159" s="532"/>
      <c r="AF159" s="532"/>
      <c r="AG159" s="532"/>
      <c r="AH159" s="532"/>
      <c r="AI159" s="532"/>
      <c r="AJ159" s="532"/>
    </row>
    <row r="160" spans="13:36" ht="12.95" customHeight="1" x14ac:dyDescent="0.2">
      <c r="M160" s="532"/>
      <c r="N160" s="532"/>
      <c r="O160" s="532"/>
      <c r="P160" s="90"/>
      <c r="Q160" s="532"/>
      <c r="R160" s="219"/>
      <c r="S160" s="532"/>
      <c r="T160" s="90"/>
      <c r="U160" s="532"/>
      <c r="V160" s="532"/>
      <c r="W160" s="532"/>
      <c r="X160" s="532"/>
      <c r="Y160" s="532"/>
      <c r="Z160" s="532"/>
      <c r="AA160" s="532"/>
      <c r="AB160" s="532"/>
      <c r="AC160" s="532"/>
      <c r="AD160" s="532"/>
      <c r="AE160" s="532"/>
      <c r="AF160" s="532"/>
      <c r="AG160" s="532"/>
      <c r="AH160" s="532"/>
      <c r="AI160" s="532"/>
      <c r="AJ160" s="532"/>
    </row>
    <row r="161" spans="13:36" ht="12.95" customHeight="1" x14ac:dyDescent="0.2">
      <c r="M161" s="532"/>
      <c r="N161" s="532"/>
      <c r="O161" s="532"/>
      <c r="P161" s="90"/>
      <c r="Q161" s="532"/>
      <c r="R161" s="219"/>
      <c r="S161" s="532"/>
      <c r="T161" s="90"/>
      <c r="U161" s="532"/>
      <c r="V161" s="532"/>
      <c r="W161" s="532"/>
      <c r="X161" s="532"/>
      <c r="Y161" s="532"/>
      <c r="Z161" s="532"/>
      <c r="AA161" s="532"/>
      <c r="AB161" s="532"/>
      <c r="AC161" s="532"/>
      <c r="AD161" s="532"/>
      <c r="AE161" s="532"/>
      <c r="AF161" s="532"/>
      <c r="AG161" s="532"/>
      <c r="AH161" s="532"/>
      <c r="AI161" s="532"/>
      <c r="AJ161" s="532"/>
    </row>
    <row r="162" spans="13:36" ht="12.95" customHeight="1" x14ac:dyDescent="0.2">
      <c r="M162" s="532"/>
      <c r="N162" s="532"/>
      <c r="O162" s="532"/>
      <c r="P162" s="90"/>
      <c r="Q162" s="532"/>
      <c r="R162" s="219"/>
      <c r="S162" s="532"/>
      <c r="T162" s="90"/>
      <c r="U162" s="532"/>
      <c r="V162" s="532"/>
      <c r="W162" s="532"/>
      <c r="X162" s="532"/>
      <c r="Y162" s="532"/>
      <c r="Z162" s="532"/>
      <c r="AA162" s="532"/>
      <c r="AB162" s="532"/>
      <c r="AC162" s="532"/>
      <c r="AD162" s="532"/>
      <c r="AE162" s="532"/>
      <c r="AF162" s="532"/>
      <c r="AG162" s="532"/>
      <c r="AH162" s="532"/>
      <c r="AI162" s="532"/>
      <c r="AJ162" s="532"/>
    </row>
    <row r="163" spans="13:36" ht="12.95" customHeight="1" x14ac:dyDescent="0.2">
      <c r="M163" s="532"/>
      <c r="N163" s="532"/>
      <c r="O163" s="532"/>
      <c r="P163" s="90"/>
      <c r="Q163" s="532"/>
      <c r="R163" s="219"/>
      <c r="S163" s="532"/>
      <c r="T163" s="90"/>
      <c r="U163" s="532"/>
      <c r="V163" s="532"/>
      <c r="W163" s="532"/>
      <c r="X163" s="532"/>
      <c r="Y163" s="532"/>
      <c r="Z163" s="532"/>
      <c r="AA163" s="532"/>
      <c r="AB163" s="532"/>
      <c r="AC163" s="532"/>
      <c r="AD163" s="532"/>
      <c r="AE163" s="532"/>
      <c r="AF163" s="532"/>
      <c r="AG163" s="532"/>
      <c r="AH163" s="532"/>
      <c r="AI163" s="532"/>
      <c r="AJ163" s="532"/>
    </row>
    <row r="164" spans="13:36" ht="12.95" customHeight="1" x14ac:dyDescent="0.2">
      <c r="M164" s="532"/>
      <c r="N164" s="532"/>
      <c r="O164" s="532"/>
      <c r="P164" s="90"/>
      <c r="Q164" s="532"/>
      <c r="R164" s="219"/>
      <c r="S164" s="532"/>
      <c r="T164" s="90"/>
      <c r="U164" s="532"/>
      <c r="V164" s="532"/>
      <c r="W164" s="532"/>
      <c r="X164" s="532"/>
      <c r="Y164" s="532"/>
      <c r="Z164" s="532"/>
      <c r="AA164" s="532"/>
      <c r="AB164" s="532"/>
      <c r="AC164" s="532"/>
      <c r="AD164" s="532"/>
      <c r="AE164" s="532"/>
      <c r="AF164" s="532"/>
      <c r="AG164" s="532"/>
      <c r="AH164" s="532"/>
      <c r="AI164" s="532"/>
      <c r="AJ164" s="532"/>
    </row>
    <row r="165" spans="13:36" ht="12.95" customHeight="1" x14ac:dyDescent="0.2">
      <c r="M165" s="532"/>
      <c r="N165" s="532"/>
      <c r="O165" s="532"/>
      <c r="P165" s="90"/>
      <c r="Q165" s="532"/>
      <c r="R165" s="219"/>
      <c r="S165" s="532"/>
      <c r="T165" s="90"/>
      <c r="U165" s="532"/>
      <c r="V165" s="532"/>
      <c r="W165" s="532"/>
      <c r="X165" s="532"/>
      <c r="Y165" s="532"/>
      <c r="Z165" s="532"/>
      <c r="AA165" s="532"/>
      <c r="AB165" s="532"/>
      <c r="AC165" s="532"/>
      <c r="AD165" s="532"/>
      <c r="AE165" s="532"/>
      <c r="AF165" s="532"/>
      <c r="AG165" s="532"/>
      <c r="AH165" s="532"/>
      <c r="AI165" s="532"/>
      <c r="AJ165" s="532"/>
    </row>
    <row r="166" spans="13:36" ht="12.95" customHeight="1" x14ac:dyDescent="0.2">
      <c r="M166" s="532"/>
      <c r="N166" s="532"/>
      <c r="O166" s="532"/>
      <c r="P166" s="90"/>
      <c r="Q166" s="532"/>
      <c r="R166" s="219"/>
      <c r="S166" s="532"/>
      <c r="T166" s="90"/>
      <c r="U166" s="532"/>
      <c r="V166" s="532"/>
      <c r="W166" s="532"/>
      <c r="X166" s="532"/>
      <c r="Y166" s="532"/>
      <c r="Z166" s="532"/>
      <c r="AA166" s="532"/>
      <c r="AB166" s="532"/>
      <c r="AC166" s="532"/>
      <c r="AD166" s="532"/>
      <c r="AE166" s="532"/>
      <c r="AF166" s="532"/>
      <c r="AG166" s="532"/>
      <c r="AH166" s="532"/>
      <c r="AI166" s="532"/>
      <c r="AJ166" s="532"/>
    </row>
    <row r="167" spans="13:36" ht="12.95" customHeight="1" x14ac:dyDescent="0.2">
      <c r="M167" s="532"/>
      <c r="N167" s="532"/>
      <c r="O167" s="532"/>
      <c r="P167" s="90"/>
      <c r="Q167" s="532"/>
      <c r="R167" s="219"/>
      <c r="S167" s="532"/>
      <c r="T167" s="90"/>
      <c r="U167" s="532"/>
      <c r="V167" s="532"/>
      <c r="W167" s="532"/>
      <c r="X167" s="532"/>
      <c r="Y167" s="532"/>
      <c r="Z167" s="532"/>
      <c r="AA167" s="532"/>
      <c r="AB167" s="532"/>
      <c r="AC167" s="532"/>
      <c r="AD167" s="532"/>
      <c r="AE167" s="532"/>
      <c r="AF167" s="532"/>
      <c r="AG167" s="532"/>
      <c r="AH167" s="532"/>
      <c r="AI167" s="532"/>
      <c r="AJ167" s="532"/>
    </row>
    <row r="168" spans="13:36" ht="12.95" customHeight="1" x14ac:dyDescent="0.2">
      <c r="M168" s="532"/>
      <c r="N168" s="532"/>
      <c r="O168" s="532"/>
      <c r="P168" s="90"/>
      <c r="Q168" s="532"/>
      <c r="R168" s="219"/>
      <c r="S168" s="532"/>
      <c r="T168" s="90"/>
      <c r="U168" s="532"/>
      <c r="V168" s="532"/>
      <c r="W168" s="532"/>
      <c r="X168" s="532"/>
      <c r="Y168" s="532"/>
      <c r="Z168" s="532"/>
      <c r="AA168" s="532"/>
      <c r="AB168" s="532"/>
      <c r="AC168" s="532"/>
      <c r="AD168" s="532"/>
      <c r="AE168" s="532"/>
      <c r="AF168" s="532"/>
      <c r="AG168" s="532"/>
      <c r="AH168" s="532"/>
      <c r="AI168" s="532"/>
      <c r="AJ168" s="532"/>
    </row>
    <row r="169" spans="13:36" ht="12.95" customHeight="1" x14ac:dyDescent="0.2">
      <c r="M169" s="532"/>
      <c r="N169" s="532"/>
      <c r="O169" s="532"/>
      <c r="P169" s="90"/>
      <c r="Q169" s="532"/>
      <c r="R169" s="219"/>
      <c r="S169" s="532"/>
      <c r="T169" s="90"/>
      <c r="U169" s="532"/>
      <c r="V169" s="532"/>
      <c r="W169" s="532"/>
      <c r="X169" s="532"/>
      <c r="Y169" s="532"/>
      <c r="Z169" s="532"/>
      <c r="AA169" s="532"/>
      <c r="AB169" s="532"/>
      <c r="AC169" s="532"/>
      <c r="AD169" s="532"/>
      <c r="AE169" s="532"/>
      <c r="AF169" s="532"/>
      <c r="AG169" s="532"/>
      <c r="AH169" s="532"/>
      <c r="AI169" s="532"/>
      <c r="AJ169" s="532"/>
    </row>
    <row r="170" spans="13:36" ht="12.95" customHeight="1" x14ac:dyDescent="0.2">
      <c r="M170" s="532"/>
      <c r="N170" s="532"/>
      <c r="O170" s="532"/>
      <c r="P170" s="90"/>
      <c r="Q170" s="532"/>
      <c r="R170" s="219"/>
      <c r="S170" s="532"/>
      <c r="T170" s="90"/>
      <c r="U170" s="532"/>
      <c r="V170" s="532"/>
      <c r="W170" s="532"/>
      <c r="X170" s="532"/>
      <c r="Y170" s="532"/>
      <c r="Z170" s="532"/>
      <c r="AA170" s="532"/>
      <c r="AB170" s="532"/>
      <c r="AC170" s="532"/>
      <c r="AD170" s="532"/>
      <c r="AE170" s="532"/>
      <c r="AF170" s="532"/>
      <c r="AG170" s="532"/>
      <c r="AH170" s="532"/>
      <c r="AI170" s="532"/>
      <c r="AJ170" s="532"/>
    </row>
    <row r="171" spans="13:36" ht="12.95" customHeight="1" x14ac:dyDescent="0.2">
      <c r="M171" s="532"/>
      <c r="N171" s="532"/>
      <c r="O171" s="532"/>
      <c r="P171" s="90"/>
      <c r="Q171" s="532"/>
      <c r="R171" s="219"/>
      <c r="S171" s="532"/>
      <c r="T171" s="90"/>
      <c r="U171" s="532"/>
      <c r="V171" s="532"/>
      <c r="W171" s="532"/>
      <c r="X171" s="532"/>
      <c r="Y171" s="532"/>
      <c r="Z171" s="532"/>
      <c r="AA171" s="532"/>
      <c r="AB171" s="532"/>
      <c r="AC171" s="532"/>
      <c r="AD171" s="532"/>
      <c r="AE171" s="532"/>
      <c r="AF171" s="532"/>
      <c r="AG171" s="532"/>
      <c r="AH171" s="532"/>
      <c r="AI171" s="532"/>
      <c r="AJ171" s="532"/>
    </row>
    <row r="172" spans="13:36" ht="12.95" customHeight="1" x14ac:dyDescent="0.2">
      <c r="M172" s="532"/>
      <c r="N172" s="532"/>
      <c r="O172" s="532"/>
      <c r="P172" s="90"/>
      <c r="Q172" s="532"/>
      <c r="R172" s="219"/>
      <c r="S172" s="532"/>
      <c r="T172" s="90"/>
      <c r="U172" s="532"/>
      <c r="V172" s="532"/>
      <c r="W172" s="532"/>
      <c r="X172" s="532"/>
      <c r="Y172" s="532"/>
      <c r="Z172" s="532"/>
      <c r="AA172" s="532"/>
      <c r="AB172" s="532"/>
      <c r="AC172" s="532"/>
      <c r="AD172" s="532"/>
      <c r="AE172" s="532"/>
      <c r="AF172" s="532"/>
      <c r="AG172" s="532"/>
      <c r="AH172" s="532"/>
      <c r="AI172" s="532"/>
      <c r="AJ172" s="532"/>
    </row>
    <row r="173" spans="13:36" ht="12.95" customHeight="1" x14ac:dyDescent="0.2">
      <c r="M173" s="532"/>
      <c r="N173" s="532"/>
      <c r="O173" s="532"/>
      <c r="P173" s="90"/>
      <c r="Q173" s="532"/>
      <c r="R173" s="219"/>
      <c r="S173" s="532"/>
      <c r="T173" s="90"/>
      <c r="U173" s="532"/>
      <c r="V173" s="532"/>
      <c r="W173" s="532"/>
      <c r="X173" s="532"/>
      <c r="Y173" s="532"/>
      <c r="Z173" s="532"/>
      <c r="AA173" s="532"/>
      <c r="AB173" s="532"/>
      <c r="AC173" s="532"/>
      <c r="AD173" s="532"/>
      <c r="AE173" s="532"/>
      <c r="AF173" s="532"/>
      <c r="AG173" s="532"/>
      <c r="AH173" s="532"/>
      <c r="AI173" s="532"/>
      <c r="AJ173" s="532"/>
    </row>
    <row r="174" spans="13:36" ht="12.95" customHeight="1" x14ac:dyDescent="0.2">
      <c r="M174" s="532"/>
      <c r="N174" s="532"/>
      <c r="O174" s="532"/>
      <c r="P174" s="90"/>
      <c r="Q174" s="532"/>
      <c r="R174" s="219"/>
      <c r="S174" s="532"/>
      <c r="T174" s="90"/>
      <c r="U174" s="532"/>
      <c r="V174" s="532"/>
      <c r="W174" s="532"/>
      <c r="X174" s="532"/>
      <c r="Y174" s="532"/>
      <c r="Z174" s="532"/>
      <c r="AA174" s="532"/>
      <c r="AB174" s="532"/>
      <c r="AC174" s="532"/>
      <c r="AD174" s="532"/>
      <c r="AE174" s="532"/>
      <c r="AF174" s="532"/>
      <c r="AG174" s="532"/>
      <c r="AH174" s="532"/>
      <c r="AI174" s="532"/>
      <c r="AJ174" s="532"/>
    </row>
    <row r="175" spans="13:36" ht="12.95" customHeight="1" x14ac:dyDescent="0.2">
      <c r="M175" s="532"/>
      <c r="N175" s="532"/>
      <c r="O175" s="532"/>
      <c r="P175" s="90"/>
      <c r="Q175" s="532"/>
      <c r="R175" s="219"/>
      <c r="S175" s="532"/>
      <c r="T175" s="90"/>
      <c r="U175" s="532"/>
      <c r="V175" s="532"/>
      <c r="W175" s="532"/>
      <c r="X175" s="532"/>
      <c r="Y175" s="532"/>
      <c r="Z175" s="532"/>
      <c r="AA175" s="532"/>
      <c r="AB175" s="532"/>
      <c r="AC175" s="532"/>
      <c r="AD175" s="532"/>
      <c r="AE175" s="532"/>
      <c r="AF175" s="532"/>
      <c r="AG175" s="532"/>
      <c r="AH175" s="532"/>
      <c r="AI175" s="532"/>
      <c r="AJ175" s="532"/>
    </row>
    <row r="176" spans="13:36" ht="12.95" customHeight="1" x14ac:dyDescent="0.2">
      <c r="M176" s="532"/>
      <c r="N176" s="532"/>
      <c r="O176" s="532"/>
      <c r="P176" s="90"/>
      <c r="Q176" s="532"/>
      <c r="R176" s="219"/>
      <c r="S176" s="532"/>
      <c r="T176" s="90"/>
      <c r="U176" s="532"/>
      <c r="V176" s="532"/>
      <c r="W176" s="532"/>
      <c r="X176" s="532"/>
      <c r="Y176" s="532"/>
      <c r="Z176" s="532"/>
      <c r="AA176" s="532"/>
      <c r="AB176" s="532"/>
      <c r="AC176" s="532"/>
      <c r="AD176" s="532"/>
      <c r="AE176" s="532"/>
      <c r="AF176" s="532"/>
      <c r="AG176" s="532"/>
      <c r="AH176" s="532"/>
      <c r="AI176" s="532"/>
      <c r="AJ176" s="532"/>
    </row>
    <row r="177" spans="13:36" ht="12.95" customHeight="1" x14ac:dyDescent="0.2">
      <c r="M177" s="532"/>
      <c r="N177" s="532"/>
      <c r="O177" s="532"/>
      <c r="P177" s="90"/>
      <c r="Q177" s="532"/>
      <c r="R177" s="219"/>
      <c r="S177" s="532"/>
      <c r="T177" s="90"/>
      <c r="U177" s="532"/>
      <c r="V177" s="532"/>
      <c r="W177" s="532"/>
      <c r="X177" s="532"/>
      <c r="Y177" s="532"/>
      <c r="Z177" s="532"/>
      <c r="AA177" s="532"/>
      <c r="AB177" s="532"/>
      <c r="AC177" s="532"/>
      <c r="AD177" s="532"/>
      <c r="AE177" s="532"/>
      <c r="AF177" s="532"/>
      <c r="AG177" s="532"/>
      <c r="AH177" s="532"/>
      <c r="AI177" s="532"/>
      <c r="AJ177" s="532"/>
    </row>
    <row r="178" spans="13:36" ht="12.95" customHeight="1" x14ac:dyDescent="0.2">
      <c r="M178" s="532"/>
      <c r="N178" s="532"/>
      <c r="O178" s="532"/>
      <c r="P178" s="90"/>
      <c r="Q178" s="532"/>
      <c r="R178" s="219"/>
      <c r="S178" s="532"/>
      <c r="T178" s="90"/>
      <c r="U178" s="532"/>
      <c r="V178" s="532"/>
      <c r="W178" s="532"/>
      <c r="X178" s="532"/>
      <c r="Y178" s="532"/>
      <c r="Z178" s="532"/>
      <c r="AA178" s="532"/>
      <c r="AB178" s="532"/>
      <c r="AC178" s="532"/>
      <c r="AD178" s="532"/>
      <c r="AE178" s="532"/>
      <c r="AF178" s="532"/>
      <c r="AG178" s="532"/>
      <c r="AH178" s="532"/>
      <c r="AI178" s="532"/>
      <c r="AJ178" s="532"/>
    </row>
    <row r="179" spans="13:36" ht="12.95" customHeight="1" x14ac:dyDescent="0.2">
      <c r="M179" s="532"/>
      <c r="N179" s="532"/>
      <c r="O179" s="532"/>
      <c r="P179" s="90"/>
      <c r="Q179" s="532"/>
      <c r="R179" s="219"/>
      <c r="S179" s="532"/>
      <c r="T179" s="90"/>
      <c r="U179" s="532"/>
      <c r="V179" s="532"/>
      <c r="W179" s="532"/>
      <c r="X179" s="532"/>
      <c r="Y179" s="532"/>
      <c r="Z179" s="532"/>
      <c r="AA179" s="532"/>
      <c r="AB179" s="532"/>
      <c r="AC179" s="532"/>
      <c r="AD179" s="532"/>
      <c r="AE179" s="532"/>
      <c r="AF179" s="532"/>
      <c r="AG179" s="532"/>
      <c r="AH179" s="532"/>
      <c r="AI179" s="532"/>
      <c r="AJ179" s="532"/>
    </row>
    <row r="180" spans="13:36" ht="12.95" customHeight="1" x14ac:dyDescent="0.2">
      <c r="M180" s="532"/>
      <c r="N180" s="532"/>
      <c r="O180" s="532"/>
      <c r="P180" s="90"/>
      <c r="Q180" s="532"/>
      <c r="R180" s="219"/>
      <c r="S180" s="532"/>
      <c r="T180" s="90"/>
      <c r="U180" s="532"/>
      <c r="V180" s="532"/>
      <c r="W180" s="532"/>
      <c r="X180" s="532"/>
      <c r="Y180" s="532"/>
      <c r="Z180" s="532"/>
      <c r="AA180" s="532"/>
      <c r="AB180" s="532"/>
      <c r="AC180" s="532"/>
      <c r="AD180" s="532"/>
      <c r="AE180" s="532"/>
      <c r="AF180" s="532"/>
      <c r="AG180" s="532"/>
      <c r="AH180" s="532"/>
      <c r="AI180" s="532"/>
      <c r="AJ180" s="532"/>
    </row>
    <row r="181" spans="13:36" ht="12.95" customHeight="1" x14ac:dyDescent="0.2">
      <c r="M181" s="532"/>
      <c r="N181" s="532"/>
      <c r="O181" s="532"/>
      <c r="P181" s="90"/>
      <c r="Q181" s="532"/>
      <c r="R181" s="219"/>
      <c r="S181" s="532"/>
      <c r="T181" s="90"/>
      <c r="U181" s="532"/>
      <c r="V181" s="532"/>
      <c r="W181" s="532"/>
      <c r="X181" s="532"/>
      <c r="Y181" s="532"/>
      <c r="Z181" s="532"/>
      <c r="AA181" s="532"/>
      <c r="AB181" s="532"/>
      <c r="AC181" s="532"/>
      <c r="AD181" s="532"/>
      <c r="AE181" s="532"/>
      <c r="AF181" s="532"/>
      <c r="AG181" s="532"/>
      <c r="AH181" s="532"/>
      <c r="AI181" s="532"/>
      <c r="AJ181" s="532"/>
    </row>
    <row r="182" spans="13:36" ht="12.95" customHeight="1" x14ac:dyDescent="0.2">
      <c r="M182" s="532"/>
      <c r="N182" s="532"/>
      <c r="O182" s="532"/>
      <c r="P182" s="90"/>
      <c r="Q182" s="532"/>
      <c r="R182" s="219"/>
      <c r="S182" s="532"/>
      <c r="T182" s="90"/>
      <c r="U182" s="532"/>
      <c r="V182" s="532"/>
      <c r="W182" s="532"/>
      <c r="X182" s="532"/>
      <c r="Y182" s="532"/>
      <c r="Z182" s="532"/>
      <c r="AA182" s="532"/>
      <c r="AB182" s="532"/>
      <c r="AC182" s="532"/>
      <c r="AD182" s="532"/>
      <c r="AE182" s="532"/>
      <c r="AF182" s="532"/>
      <c r="AG182" s="532"/>
      <c r="AH182" s="532"/>
      <c r="AI182" s="532"/>
      <c r="AJ182" s="532"/>
    </row>
    <row r="183" spans="13:36" ht="12.95" customHeight="1" x14ac:dyDescent="0.2">
      <c r="M183" s="532"/>
      <c r="N183" s="532"/>
      <c r="O183" s="532"/>
      <c r="P183" s="90"/>
      <c r="Q183" s="532"/>
      <c r="R183" s="219"/>
      <c r="S183" s="532"/>
      <c r="T183" s="90"/>
      <c r="U183" s="532"/>
      <c r="V183" s="532"/>
      <c r="W183" s="532"/>
      <c r="X183" s="532"/>
      <c r="Y183" s="532"/>
      <c r="Z183" s="532"/>
      <c r="AA183" s="532"/>
      <c r="AB183" s="532"/>
      <c r="AC183" s="532"/>
      <c r="AD183" s="532"/>
      <c r="AE183" s="532"/>
      <c r="AF183" s="532"/>
      <c r="AG183" s="532"/>
      <c r="AH183" s="532"/>
      <c r="AI183" s="532"/>
      <c r="AJ183" s="532"/>
    </row>
    <row r="184" spans="13:36" ht="12.95" customHeight="1" x14ac:dyDescent="0.2">
      <c r="M184" s="532"/>
      <c r="N184" s="532"/>
      <c r="O184" s="532"/>
      <c r="P184" s="90"/>
      <c r="Q184" s="532"/>
      <c r="R184" s="219"/>
      <c r="S184" s="532"/>
      <c r="T184" s="90"/>
      <c r="U184" s="532"/>
      <c r="V184" s="532"/>
      <c r="W184" s="532"/>
      <c r="X184" s="532"/>
      <c r="Y184" s="532"/>
      <c r="Z184" s="532"/>
      <c r="AA184" s="532"/>
      <c r="AB184" s="532"/>
      <c r="AC184" s="532"/>
      <c r="AD184" s="532"/>
      <c r="AE184" s="532"/>
      <c r="AF184" s="532"/>
      <c r="AG184" s="532"/>
      <c r="AH184" s="532"/>
      <c r="AI184" s="532"/>
      <c r="AJ184" s="532"/>
    </row>
    <row r="185" spans="13:36" ht="12.95" customHeight="1" x14ac:dyDescent="0.2">
      <c r="M185" s="532"/>
      <c r="N185" s="532"/>
      <c r="O185" s="532"/>
      <c r="P185" s="90"/>
      <c r="Q185" s="532"/>
      <c r="R185" s="219"/>
      <c r="S185" s="532"/>
      <c r="T185" s="90"/>
      <c r="U185" s="532"/>
      <c r="V185" s="532"/>
      <c r="W185" s="532"/>
      <c r="X185" s="532"/>
      <c r="Y185" s="532"/>
      <c r="Z185" s="532"/>
      <c r="AA185" s="532"/>
      <c r="AB185" s="532"/>
      <c r="AC185" s="532"/>
      <c r="AD185" s="532"/>
      <c r="AE185" s="532"/>
      <c r="AF185" s="532"/>
      <c r="AG185" s="532"/>
      <c r="AH185" s="532"/>
      <c r="AI185" s="532"/>
      <c r="AJ185" s="532"/>
    </row>
    <row r="186" spans="13:36" ht="12.95" customHeight="1" x14ac:dyDescent="0.2">
      <c r="M186" s="532"/>
      <c r="N186" s="532"/>
      <c r="O186" s="532"/>
      <c r="P186" s="90"/>
      <c r="Q186" s="532"/>
      <c r="R186" s="219"/>
      <c r="S186" s="532"/>
      <c r="T186" s="90"/>
      <c r="U186" s="532"/>
      <c r="V186" s="532"/>
      <c r="W186" s="532"/>
      <c r="X186" s="532"/>
      <c r="Y186" s="532"/>
      <c r="Z186" s="532"/>
      <c r="AA186" s="532"/>
      <c r="AB186" s="532"/>
      <c r="AC186" s="532"/>
      <c r="AD186" s="532"/>
      <c r="AE186" s="532"/>
      <c r="AF186" s="532"/>
      <c r="AG186" s="532"/>
      <c r="AH186" s="532"/>
      <c r="AI186" s="532"/>
      <c r="AJ186" s="532"/>
    </row>
    <row r="187" spans="13:36" ht="12.95" customHeight="1" x14ac:dyDescent="0.2">
      <c r="M187" s="532"/>
      <c r="N187" s="532"/>
      <c r="O187" s="532"/>
      <c r="P187" s="90"/>
      <c r="Q187" s="532"/>
      <c r="R187" s="219"/>
      <c r="S187" s="532"/>
      <c r="T187" s="90"/>
      <c r="U187" s="532"/>
      <c r="V187" s="532"/>
      <c r="W187" s="532"/>
      <c r="X187" s="532"/>
      <c r="Y187" s="532"/>
      <c r="Z187" s="532"/>
      <c r="AA187" s="532"/>
      <c r="AB187" s="532"/>
      <c r="AC187" s="532"/>
      <c r="AD187" s="532"/>
      <c r="AE187" s="532"/>
      <c r="AF187" s="532"/>
      <c r="AG187" s="532"/>
      <c r="AH187" s="532"/>
      <c r="AI187" s="532"/>
      <c r="AJ187" s="532"/>
    </row>
    <row r="188" spans="13:36" ht="12.95" customHeight="1" x14ac:dyDescent="0.2">
      <c r="M188" s="532"/>
      <c r="N188" s="532"/>
      <c r="O188" s="532"/>
      <c r="P188" s="90"/>
      <c r="Q188" s="532"/>
      <c r="R188" s="219"/>
      <c r="S188" s="532"/>
      <c r="T188" s="90"/>
      <c r="U188" s="532"/>
      <c r="V188" s="532"/>
      <c r="W188" s="532"/>
      <c r="X188" s="532"/>
      <c r="Y188" s="532"/>
      <c r="Z188" s="532"/>
      <c r="AA188" s="532"/>
      <c r="AB188" s="532"/>
      <c r="AC188" s="532"/>
      <c r="AD188" s="532"/>
      <c r="AE188" s="532"/>
      <c r="AF188" s="532"/>
      <c r="AG188" s="532"/>
      <c r="AH188" s="532"/>
      <c r="AI188" s="532"/>
      <c r="AJ188" s="532"/>
    </row>
    <row r="189" spans="13:36" ht="12.95" customHeight="1" x14ac:dyDescent="0.2">
      <c r="M189" s="532"/>
      <c r="N189" s="532"/>
      <c r="O189" s="532"/>
      <c r="P189" s="90"/>
      <c r="Q189" s="532"/>
      <c r="R189" s="219"/>
      <c r="S189" s="532"/>
      <c r="T189" s="90"/>
      <c r="U189" s="532"/>
      <c r="V189" s="532"/>
      <c r="W189" s="532"/>
      <c r="X189" s="532"/>
      <c r="Y189" s="532"/>
      <c r="Z189" s="532"/>
      <c r="AA189" s="532"/>
      <c r="AB189" s="532"/>
      <c r="AC189" s="532"/>
      <c r="AD189" s="532"/>
      <c r="AE189" s="532"/>
      <c r="AF189" s="532"/>
      <c r="AG189" s="532"/>
      <c r="AH189" s="532"/>
      <c r="AI189" s="532"/>
      <c r="AJ189" s="532"/>
    </row>
    <row r="190" spans="13:36" ht="12.95" customHeight="1" x14ac:dyDescent="0.2">
      <c r="M190" s="532"/>
      <c r="N190" s="532"/>
      <c r="O190" s="532"/>
      <c r="P190" s="90"/>
      <c r="Q190" s="532"/>
      <c r="R190" s="219"/>
      <c r="S190" s="532"/>
      <c r="T190" s="90"/>
      <c r="U190" s="532"/>
      <c r="V190" s="532"/>
      <c r="W190" s="532"/>
      <c r="X190" s="532"/>
      <c r="Y190" s="532"/>
      <c r="Z190" s="532"/>
      <c r="AA190" s="532"/>
      <c r="AB190" s="532"/>
      <c r="AC190" s="532"/>
      <c r="AD190" s="532"/>
      <c r="AE190" s="532"/>
      <c r="AF190" s="532"/>
      <c r="AG190" s="532"/>
      <c r="AH190" s="532"/>
      <c r="AI190" s="532"/>
      <c r="AJ190" s="532"/>
    </row>
    <row r="191" spans="13:36" ht="12.95" customHeight="1" x14ac:dyDescent="0.2">
      <c r="M191" s="532"/>
      <c r="N191" s="532"/>
      <c r="O191" s="532"/>
      <c r="P191" s="90"/>
      <c r="Q191" s="532"/>
      <c r="R191" s="219"/>
      <c r="S191" s="532"/>
      <c r="T191" s="90"/>
      <c r="U191" s="532"/>
      <c r="V191" s="532"/>
      <c r="W191" s="532"/>
      <c r="X191" s="532"/>
      <c r="Y191" s="532"/>
      <c r="Z191" s="532"/>
      <c r="AA191" s="532"/>
      <c r="AB191" s="532"/>
      <c r="AC191" s="532"/>
      <c r="AD191" s="532"/>
      <c r="AE191" s="532"/>
      <c r="AF191" s="532"/>
      <c r="AG191" s="532"/>
      <c r="AH191" s="532"/>
      <c r="AI191" s="532"/>
      <c r="AJ191" s="532"/>
    </row>
    <row r="192" spans="13:36" ht="12.95" customHeight="1" x14ac:dyDescent="0.2">
      <c r="M192" s="532"/>
      <c r="N192" s="532"/>
      <c r="O192" s="532"/>
      <c r="P192" s="90"/>
      <c r="Q192" s="532"/>
      <c r="R192" s="219"/>
      <c r="S192" s="532"/>
      <c r="T192" s="90"/>
      <c r="U192" s="532"/>
      <c r="V192" s="532"/>
      <c r="W192" s="532"/>
      <c r="X192" s="532"/>
      <c r="Y192" s="532"/>
      <c r="Z192" s="532"/>
      <c r="AA192" s="532"/>
      <c r="AB192" s="532"/>
      <c r="AC192" s="532"/>
      <c r="AD192" s="532"/>
      <c r="AE192" s="532"/>
      <c r="AF192" s="532"/>
      <c r="AG192" s="532"/>
      <c r="AH192" s="532"/>
      <c r="AI192" s="532"/>
      <c r="AJ192" s="532"/>
    </row>
    <row r="193" spans="13:36" ht="12.95" customHeight="1" x14ac:dyDescent="0.2">
      <c r="M193" s="532"/>
      <c r="N193" s="532"/>
      <c r="O193" s="532"/>
      <c r="P193" s="90"/>
      <c r="Q193" s="532"/>
      <c r="R193" s="219"/>
      <c r="S193" s="532"/>
      <c r="T193" s="90"/>
      <c r="U193" s="532"/>
      <c r="V193" s="532"/>
      <c r="W193" s="532"/>
      <c r="X193" s="532"/>
      <c r="Y193" s="532"/>
      <c r="Z193" s="532"/>
      <c r="AA193" s="532"/>
      <c r="AB193" s="532"/>
      <c r="AC193" s="532"/>
      <c r="AD193" s="532"/>
      <c r="AE193" s="532"/>
      <c r="AF193" s="532"/>
      <c r="AG193" s="532"/>
      <c r="AH193" s="532"/>
      <c r="AI193" s="532"/>
      <c r="AJ193" s="532"/>
    </row>
    <row r="194" spans="13:36" ht="12.95" customHeight="1" x14ac:dyDescent="0.2">
      <c r="M194" s="532"/>
      <c r="N194" s="532"/>
      <c r="O194" s="532"/>
      <c r="P194" s="90"/>
      <c r="Q194" s="532"/>
      <c r="R194" s="219"/>
      <c r="S194" s="532"/>
      <c r="T194" s="90"/>
      <c r="U194" s="532"/>
      <c r="V194" s="532"/>
      <c r="W194" s="532"/>
      <c r="X194" s="532"/>
      <c r="Y194" s="532"/>
      <c r="Z194" s="532"/>
      <c r="AA194" s="532"/>
      <c r="AB194" s="532"/>
      <c r="AC194" s="532"/>
      <c r="AD194" s="532"/>
      <c r="AE194" s="532"/>
      <c r="AF194" s="532"/>
      <c r="AG194" s="532"/>
      <c r="AH194" s="532"/>
      <c r="AI194" s="532"/>
      <c r="AJ194" s="532"/>
    </row>
    <row r="195" spans="13:36" ht="12.95" customHeight="1" x14ac:dyDescent="0.2">
      <c r="M195" s="532"/>
      <c r="N195" s="532"/>
      <c r="O195" s="532"/>
      <c r="P195" s="90"/>
      <c r="Q195" s="532"/>
      <c r="R195" s="219"/>
      <c r="S195" s="532"/>
      <c r="T195" s="90"/>
      <c r="U195" s="532"/>
      <c r="V195" s="532"/>
      <c r="W195" s="532"/>
      <c r="X195" s="532"/>
      <c r="Y195" s="532"/>
      <c r="Z195" s="532"/>
      <c r="AA195" s="532"/>
      <c r="AB195" s="532"/>
      <c r="AC195" s="532"/>
      <c r="AD195" s="532"/>
      <c r="AE195" s="532"/>
      <c r="AF195" s="532"/>
      <c r="AG195" s="532"/>
      <c r="AH195" s="532"/>
      <c r="AI195" s="532"/>
      <c r="AJ195" s="532"/>
    </row>
    <row r="196" spans="13:36" ht="12.95" customHeight="1" x14ac:dyDescent="0.2">
      <c r="M196" s="532"/>
      <c r="N196" s="532"/>
      <c r="O196" s="532"/>
      <c r="P196" s="90"/>
      <c r="Q196" s="532"/>
      <c r="R196" s="219"/>
      <c r="S196" s="532"/>
      <c r="T196" s="90"/>
      <c r="U196" s="532"/>
      <c r="V196" s="532"/>
      <c r="W196" s="532"/>
      <c r="X196" s="532"/>
      <c r="Y196" s="532"/>
      <c r="Z196" s="532"/>
      <c r="AA196" s="532"/>
      <c r="AB196" s="532"/>
      <c r="AC196" s="532"/>
      <c r="AD196" s="532"/>
      <c r="AE196" s="532"/>
      <c r="AF196" s="532"/>
      <c r="AG196" s="532"/>
      <c r="AH196" s="532"/>
      <c r="AI196" s="532"/>
      <c r="AJ196" s="532"/>
    </row>
    <row r="197" spans="13:36" ht="12.95" customHeight="1" x14ac:dyDescent="0.2">
      <c r="M197" s="532"/>
      <c r="N197" s="532"/>
      <c r="O197" s="532"/>
      <c r="P197" s="90"/>
      <c r="Q197" s="532"/>
      <c r="R197" s="219"/>
      <c r="S197" s="532"/>
      <c r="T197" s="90"/>
      <c r="U197" s="532"/>
      <c r="V197" s="532"/>
      <c r="W197" s="532"/>
      <c r="X197" s="532"/>
      <c r="Y197" s="532"/>
      <c r="Z197" s="532"/>
      <c r="AA197" s="532"/>
      <c r="AB197" s="532"/>
      <c r="AC197" s="532"/>
      <c r="AD197" s="532"/>
      <c r="AE197" s="532"/>
      <c r="AF197" s="532"/>
      <c r="AG197" s="532"/>
      <c r="AH197" s="532"/>
      <c r="AI197" s="532"/>
      <c r="AJ197" s="532"/>
    </row>
    <row r="198" spans="13:36" ht="12.95" customHeight="1" x14ac:dyDescent="0.2">
      <c r="M198" s="532"/>
      <c r="N198" s="532"/>
      <c r="O198" s="532"/>
      <c r="P198" s="90"/>
      <c r="Q198" s="532"/>
      <c r="R198" s="219"/>
      <c r="S198" s="532"/>
      <c r="T198" s="90"/>
      <c r="U198" s="532"/>
      <c r="V198" s="532"/>
      <c r="W198" s="532"/>
      <c r="X198" s="532"/>
      <c r="Y198" s="532"/>
      <c r="Z198" s="532"/>
      <c r="AA198" s="532"/>
      <c r="AB198" s="532"/>
      <c r="AC198" s="532"/>
      <c r="AD198" s="532"/>
      <c r="AE198" s="532"/>
      <c r="AF198" s="532"/>
      <c r="AG198" s="532"/>
      <c r="AH198" s="532"/>
      <c r="AI198" s="532"/>
      <c r="AJ198" s="532"/>
    </row>
    <row r="199" spans="13:36" ht="12.95" customHeight="1" x14ac:dyDescent="0.2">
      <c r="M199" s="532"/>
      <c r="N199" s="532"/>
      <c r="O199" s="532"/>
      <c r="P199" s="90"/>
      <c r="Q199" s="532"/>
      <c r="R199" s="219"/>
      <c r="S199" s="532"/>
      <c r="T199" s="90"/>
      <c r="U199" s="532"/>
      <c r="V199" s="532"/>
      <c r="W199" s="532"/>
      <c r="X199" s="532"/>
      <c r="Y199" s="532"/>
      <c r="Z199" s="532"/>
      <c r="AA199" s="532"/>
      <c r="AB199" s="532"/>
      <c r="AC199" s="532"/>
      <c r="AD199" s="532"/>
      <c r="AE199" s="532"/>
      <c r="AF199" s="532"/>
      <c r="AG199" s="532"/>
      <c r="AH199" s="532"/>
      <c r="AI199" s="532"/>
      <c r="AJ199" s="532"/>
    </row>
    <row r="200" spans="13:36" ht="12.95" customHeight="1" x14ac:dyDescent="0.2">
      <c r="M200" s="532"/>
      <c r="N200" s="532"/>
      <c r="O200" s="532"/>
      <c r="P200" s="90"/>
      <c r="Q200" s="532"/>
      <c r="R200" s="219"/>
      <c r="S200" s="532"/>
      <c r="T200" s="90"/>
      <c r="U200" s="532"/>
      <c r="V200" s="532"/>
      <c r="W200" s="532"/>
      <c r="X200" s="532"/>
      <c r="Y200" s="532"/>
      <c r="Z200" s="532"/>
      <c r="AA200" s="532"/>
      <c r="AB200" s="532"/>
      <c r="AC200" s="532"/>
      <c r="AD200" s="532"/>
      <c r="AE200" s="532"/>
      <c r="AF200" s="532"/>
      <c r="AG200" s="532"/>
      <c r="AH200" s="532"/>
      <c r="AI200" s="532"/>
      <c r="AJ200" s="532"/>
    </row>
    <row r="201" spans="13:36" ht="12.95" customHeight="1" x14ac:dyDescent="0.2">
      <c r="M201" s="532"/>
      <c r="N201" s="532"/>
      <c r="O201" s="532"/>
      <c r="P201" s="90"/>
      <c r="Q201" s="532"/>
      <c r="R201" s="219"/>
      <c r="S201" s="532"/>
      <c r="T201" s="90"/>
      <c r="U201" s="532"/>
      <c r="V201" s="532"/>
      <c r="W201" s="532"/>
      <c r="X201" s="532"/>
      <c r="Y201" s="532"/>
      <c r="Z201" s="532"/>
      <c r="AA201" s="532"/>
      <c r="AB201" s="532"/>
      <c r="AC201" s="532"/>
      <c r="AD201" s="532"/>
      <c r="AE201" s="532"/>
      <c r="AF201" s="532"/>
      <c r="AG201" s="532"/>
      <c r="AH201" s="532"/>
      <c r="AI201" s="532"/>
      <c r="AJ201" s="532"/>
    </row>
    <row r="202" spans="13:36" ht="12.95" customHeight="1" x14ac:dyDescent="0.2">
      <c r="M202" s="532"/>
      <c r="N202" s="532"/>
      <c r="O202" s="532"/>
      <c r="P202" s="90"/>
      <c r="Q202" s="532"/>
      <c r="R202" s="219"/>
      <c r="S202" s="532"/>
      <c r="T202" s="90"/>
      <c r="U202" s="532"/>
      <c r="V202" s="532"/>
      <c r="W202" s="532"/>
      <c r="X202" s="532"/>
      <c r="Y202" s="532"/>
      <c r="Z202" s="532"/>
      <c r="AA202" s="532"/>
      <c r="AB202" s="532"/>
      <c r="AC202" s="532"/>
      <c r="AD202" s="532"/>
      <c r="AE202" s="532"/>
      <c r="AF202" s="532"/>
      <c r="AG202" s="532"/>
      <c r="AH202" s="532"/>
      <c r="AI202" s="532"/>
      <c r="AJ202" s="532"/>
    </row>
    <row r="203" spans="13:36" ht="12.95" customHeight="1" x14ac:dyDescent="0.2">
      <c r="M203" s="532"/>
      <c r="N203" s="532"/>
      <c r="O203" s="532"/>
      <c r="P203" s="90"/>
      <c r="Q203" s="532"/>
      <c r="R203" s="219"/>
      <c r="S203" s="532"/>
      <c r="T203" s="90"/>
      <c r="U203" s="532"/>
      <c r="V203" s="532"/>
      <c r="W203" s="532"/>
      <c r="X203" s="532"/>
      <c r="Y203" s="532"/>
      <c r="Z203" s="532"/>
      <c r="AA203" s="532"/>
      <c r="AB203" s="532"/>
      <c r="AC203" s="532"/>
      <c r="AD203" s="532"/>
      <c r="AE203" s="532"/>
      <c r="AF203" s="532"/>
      <c r="AG203" s="532"/>
      <c r="AH203" s="532"/>
      <c r="AI203" s="532"/>
      <c r="AJ203" s="532"/>
    </row>
    <row r="204" spans="13:36" ht="12.95" customHeight="1" x14ac:dyDescent="0.2">
      <c r="M204" s="532"/>
      <c r="N204" s="532"/>
      <c r="O204" s="532"/>
      <c r="P204" s="90"/>
      <c r="Q204" s="532"/>
      <c r="R204" s="219"/>
      <c r="S204" s="532"/>
      <c r="T204" s="90"/>
      <c r="U204" s="532"/>
      <c r="V204" s="532"/>
      <c r="W204" s="532"/>
      <c r="X204" s="532"/>
      <c r="Y204" s="532"/>
      <c r="Z204" s="532"/>
      <c r="AA204" s="532"/>
      <c r="AB204" s="532"/>
      <c r="AC204" s="532"/>
      <c r="AD204" s="532"/>
      <c r="AE204" s="532"/>
      <c r="AF204" s="532"/>
      <c r="AG204" s="532"/>
      <c r="AH204" s="532"/>
      <c r="AI204" s="532"/>
      <c r="AJ204" s="532"/>
    </row>
    <row r="205" spans="13:36" ht="12.95" customHeight="1" x14ac:dyDescent="0.2">
      <c r="M205" s="532"/>
      <c r="N205" s="532"/>
      <c r="O205" s="532"/>
      <c r="P205" s="90"/>
      <c r="Q205" s="532"/>
      <c r="R205" s="219"/>
      <c r="S205" s="532"/>
      <c r="T205" s="90"/>
      <c r="U205" s="532"/>
      <c r="V205" s="532"/>
      <c r="W205" s="532"/>
      <c r="X205" s="532"/>
      <c r="Y205" s="532"/>
      <c r="Z205" s="532"/>
      <c r="AA205" s="532"/>
      <c r="AB205" s="532"/>
      <c r="AC205" s="532"/>
      <c r="AD205" s="532"/>
      <c r="AE205" s="532"/>
      <c r="AF205" s="532"/>
      <c r="AG205" s="532"/>
      <c r="AH205" s="532"/>
      <c r="AI205" s="532"/>
      <c r="AJ205" s="532"/>
    </row>
    <row r="206" spans="13:36" ht="12.95" customHeight="1" x14ac:dyDescent="0.2">
      <c r="M206" s="532"/>
      <c r="N206" s="532"/>
      <c r="O206" s="532"/>
      <c r="P206" s="90"/>
      <c r="Q206" s="532"/>
      <c r="R206" s="219"/>
      <c r="S206" s="532"/>
      <c r="T206" s="90"/>
      <c r="U206" s="532"/>
      <c r="V206" s="532"/>
      <c r="W206" s="532"/>
      <c r="X206" s="532"/>
      <c r="Y206" s="532"/>
      <c r="Z206" s="532"/>
      <c r="AA206" s="532"/>
      <c r="AB206" s="532"/>
      <c r="AC206" s="532"/>
      <c r="AD206" s="532"/>
      <c r="AE206" s="532"/>
      <c r="AF206" s="532"/>
      <c r="AG206" s="532"/>
      <c r="AH206" s="532"/>
      <c r="AI206" s="532"/>
      <c r="AJ206" s="532"/>
    </row>
    <row r="207" spans="13:36" ht="12.95" customHeight="1" x14ac:dyDescent="0.2">
      <c r="M207" s="532"/>
      <c r="N207" s="532"/>
      <c r="O207" s="532"/>
      <c r="P207" s="90"/>
      <c r="Q207" s="532"/>
      <c r="R207" s="219"/>
      <c r="S207" s="532"/>
      <c r="T207" s="90"/>
      <c r="U207" s="532"/>
      <c r="V207" s="532"/>
      <c r="W207" s="532"/>
      <c r="X207" s="532"/>
      <c r="Y207" s="532"/>
      <c r="Z207" s="532"/>
      <c r="AA207" s="532"/>
      <c r="AB207" s="532"/>
      <c r="AC207" s="532"/>
      <c r="AD207" s="532"/>
      <c r="AE207" s="532"/>
      <c r="AF207" s="532"/>
      <c r="AG207" s="532"/>
      <c r="AH207" s="532"/>
      <c r="AI207" s="532"/>
      <c r="AJ207" s="532"/>
    </row>
    <row r="208" spans="13:36" ht="12.95" customHeight="1" x14ac:dyDescent="0.2">
      <c r="M208" s="532"/>
      <c r="N208" s="532"/>
      <c r="O208" s="532"/>
      <c r="P208" s="90"/>
      <c r="Q208" s="532"/>
      <c r="R208" s="219"/>
      <c r="S208" s="532"/>
      <c r="T208" s="90"/>
      <c r="U208" s="532"/>
      <c r="V208" s="532"/>
      <c r="W208" s="532"/>
      <c r="X208" s="532"/>
      <c r="Y208" s="532"/>
      <c r="Z208" s="532"/>
      <c r="AA208" s="532"/>
      <c r="AB208" s="532"/>
      <c r="AC208" s="532"/>
      <c r="AD208" s="532"/>
      <c r="AE208" s="532"/>
      <c r="AF208" s="532"/>
      <c r="AG208" s="532"/>
      <c r="AH208" s="532"/>
      <c r="AI208" s="532"/>
      <c r="AJ208" s="532"/>
    </row>
    <row r="209" spans="13:36" ht="12.95" customHeight="1" x14ac:dyDescent="0.2">
      <c r="M209" s="532"/>
      <c r="N209" s="532"/>
      <c r="O209" s="532"/>
      <c r="P209" s="90"/>
      <c r="Q209" s="532"/>
      <c r="R209" s="219"/>
      <c r="S209" s="532"/>
      <c r="T209" s="90"/>
      <c r="U209" s="532"/>
      <c r="V209" s="532"/>
      <c r="W209" s="532"/>
      <c r="X209" s="532"/>
      <c r="Y209" s="532"/>
      <c r="Z209" s="532"/>
      <c r="AA209" s="532"/>
      <c r="AB209" s="532"/>
      <c r="AC209" s="532"/>
      <c r="AD209" s="532"/>
      <c r="AE209" s="532"/>
      <c r="AF209" s="532"/>
      <c r="AG209" s="532"/>
      <c r="AH209" s="532"/>
      <c r="AI209" s="532"/>
      <c r="AJ209" s="532"/>
    </row>
    <row r="210" spans="13:36" ht="12.95" customHeight="1" x14ac:dyDescent="0.2">
      <c r="M210" s="532"/>
      <c r="N210" s="532"/>
      <c r="O210" s="532"/>
      <c r="P210" s="90"/>
      <c r="Q210" s="532"/>
      <c r="R210" s="219"/>
      <c r="S210" s="532"/>
      <c r="T210" s="90"/>
      <c r="U210" s="532"/>
      <c r="V210" s="532"/>
      <c r="W210" s="532"/>
      <c r="X210" s="532"/>
      <c r="Y210" s="532"/>
      <c r="Z210" s="532"/>
      <c r="AA210" s="532"/>
      <c r="AB210" s="532"/>
      <c r="AC210" s="532"/>
      <c r="AD210" s="532"/>
      <c r="AE210" s="532"/>
      <c r="AF210" s="532"/>
      <c r="AG210" s="532"/>
      <c r="AH210" s="532"/>
      <c r="AI210" s="532"/>
      <c r="AJ210" s="532"/>
    </row>
    <row r="211" spans="13:36" ht="12.95" customHeight="1" x14ac:dyDescent="0.2">
      <c r="M211" s="532"/>
      <c r="N211" s="532"/>
      <c r="O211" s="532"/>
      <c r="P211" s="90"/>
      <c r="Q211" s="532"/>
      <c r="R211" s="219"/>
      <c r="S211" s="532"/>
      <c r="T211" s="90"/>
      <c r="U211" s="532"/>
      <c r="V211" s="532"/>
      <c r="W211" s="532"/>
      <c r="X211" s="532"/>
      <c r="Y211" s="532"/>
      <c r="Z211" s="532"/>
      <c r="AA211" s="532"/>
      <c r="AB211" s="532"/>
      <c r="AC211" s="532"/>
      <c r="AD211" s="532"/>
      <c r="AE211" s="532"/>
      <c r="AF211" s="532"/>
      <c r="AG211" s="532"/>
      <c r="AH211" s="532"/>
      <c r="AI211" s="532"/>
      <c r="AJ211" s="532"/>
    </row>
    <row r="212" spans="13:36" ht="12.95" customHeight="1" x14ac:dyDescent="0.2">
      <c r="M212" s="532"/>
      <c r="N212" s="532"/>
      <c r="O212" s="532"/>
      <c r="P212" s="90"/>
      <c r="Q212" s="532"/>
      <c r="R212" s="219"/>
      <c r="S212" s="532"/>
      <c r="T212" s="90"/>
      <c r="U212" s="532"/>
      <c r="V212" s="532"/>
      <c r="W212" s="532"/>
      <c r="X212" s="532"/>
      <c r="Y212" s="532"/>
      <c r="Z212" s="532"/>
      <c r="AA212" s="532"/>
      <c r="AB212" s="532"/>
      <c r="AC212" s="532"/>
      <c r="AD212" s="532"/>
      <c r="AE212" s="532"/>
      <c r="AF212" s="532"/>
      <c r="AG212" s="532"/>
      <c r="AH212" s="532"/>
      <c r="AI212" s="532"/>
      <c r="AJ212" s="532"/>
    </row>
    <row r="213" spans="13:36" ht="12.95" customHeight="1" x14ac:dyDescent="0.2">
      <c r="M213" s="532"/>
      <c r="N213" s="532"/>
      <c r="O213" s="532"/>
      <c r="P213" s="90"/>
      <c r="Q213" s="532"/>
      <c r="R213" s="219"/>
      <c r="S213" s="532"/>
      <c r="T213" s="90"/>
      <c r="U213" s="532"/>
      <c r="V213" s="532"/>
      <c r="W213" s="532"/>
      <c r="X213" s="532"/>
      <c r="Y213" s="532"/>
      <c r="Z213" s="532"/>
      <c r="AA213" s="532"/>
      <c r="AB213" s="532"/>
      <c r="AC213" s="532"/>
      <c r="AD213" s="532"/>
      <c r="AE213" s="532"/>
      <c r="AF213" s="532"/>
      <c r="AG213" s="532"/>
      <c r="AH213" s="532"/>
      <c r="AI213" s="532"/>
      <c r="AJ213" s="532"/>
    </row>
    <row r="214" spans="13:36" ht="12.95" customHeight="1" x14ac:dyDescent="0.2">
      <c r="M214" s="532"/>
      <c r="N214" s="532"/>
      <c r="O214" s="532"/>
      <c r="P214" s="90"/>
      <c r="Q214" s="532"/>
      <c r="R214" s="219"/>
      <c r="S214" s="532"/>
      <c r="T214" s="90"/>
      <c r="U214" s="532"/>
      <c r="V214" s="532"/>
      <c r="W214" s="532"/>
      <c r="X214" s="532"/>
      <c r="Y214" s="532"/>
      <c r="Z214" s="532"/>
      <c r="AA214" s="532"/>
      <c r="AB214" s="532"/>
      <c r="AC214" s="532"/>
      <c r="AD214" s="532"/>
      <c r="AE214" s="532"/>
      <c r="AF214" s="532"/>
      <c r="AG214" s="532"/>
      <c r="AH214" s="532"/>
      <c r="AI214" s="532"/>
      <c r="AJ214" s="532"/>
    </row>
    <row r="215" spans="13:36" ht="12.95" customHeight="1" x14ac:dyDescent="0.2">
      <c r="M215" s="532"/>
      <c r="N215" s="532"/>
      <c r="O215" s="532"/>
      <c r="P215" s="90"/>
      <c r="Q215" s="532"/>
      <c r="R215" s="219"/>
      <c r="S215" s="532"/>
      <c r="T215" s="90"/>
      <c r="U215" s="532"/>
      <c r="V215" s="532"/>
      <c r="W215" s="532"/>
      <c r="X215" s="532"/>
      <c r="Y215" s="532"/>
      <c r="Z215" s="532"/>
      <c r="AA215" s="532"/>
      <c r="AB215" s="532"/>
      <c r="AC215" s="532"/>
      <c r="AD215" s="532"/>
      <c r="AE215" s="532"/>
      <c r="AF215" s="532"/>
      <c r="AG215" s="532"/>
      <c r="AH215" s="532"/>
      <c r="AI215" s="532"/>
      <c r="AJ215" s="532"/>
    </row>
    <row r="216" spans="13:36" ht="12.95" customHeight="1" x14ac:dyDescent="0.2">
      <c r="M216" s="532"/>
      <c r="N216" s="532"/>
      <c r="O216" s="532"/>
      <c r="P216" s="90"/>
      <c r="Q216" s="532"/>
      <c r="R216" s="219"/>
      <c r="S216" s="532"/>
      <c r="T216" s="90"/>
      <c r="U216" s="532"/>
      <c r="V216" s="532"/>
      <c r="W216" s="532"/>
      <c r="X216" s="532"/>
      <c r="Y216" s="532"/>
      <c r="Z216" s="532"/>
      <c r="AA216" s="532"/>
      <c r="AB216" s="532"/>
      <c r="AC216" s="532"/>
      <c r="AD216" s="532"/>
      <c r="AE216" s="532"/>
      <c r="AF216" s="532"/>
      <c r="AG216" s="532"/>
      <c r="AH216" s="532"/>
      <c r="AI216" s="532"/>
      <c r="AJ216" s="532"/>
    </row>
    <row r="217" spans="13:36" ht="12.95" customHeight="1" x14ac:dyDescent="0.2">
      <c r="M217" s="532"/>
      <c r="N217" s="532"/>
      <c r="O217" s="532"/>
      <c r="P217" s="90"/>
      <c r="Q217" s="532"/>
      <c r="R217" s="219"/>
      <c r="S217" s="532"/>
      <c r="T217" s="90"/>
      <c r="U217" s="532"/>
      <c r="V217" s="532"/>
      <c r="W217" s="532"/>
      <c r="X217" s="532"/>
      <c r="Y217" s="532"/>
      <c r="Z217" s="532"/>
      <c r="AA217" s="532"/>
      <c r="AB217" s="532"/>
      <c r="AC217" s="532"/>
      <c r="AD217" s="532"/>
      <c r="AE217" s="532"/>
      <c r="AF217" s="532"/>
      <c r="AG217" s="532"/>
      <c r="AH217" s="532"/>
      <c r="AI217" s="532"/>
      <c r="AJ217" s="532"/>
    </row>
    <row r="218" spans="13:36" ht="12.95" customHeight="1" x14ac:dyDescent="0.2">
      <c r="M218" s="532"/>
      <c r="N218" s="532"/>
      <c r="O218" s="532"/>
      <c r="P218" s="90"/>
      <c r="Q218" s="532"/>
      <c r="R218" s="219"/>
      <c r="S218" s="532"/>
      <c r="T218" s="90"/>
      <c r="U218" s="532"/>
      <c r="V218" s="532"/>
      <c r="W218" s="532"/>
      <c r="X218" s="532"/>
      <c r="Y218" s="532"/>
      <c r="Z218" s="532"/>
      <c r="AA218" s="532"/>
      <c r="AB218" s="532"/>
      <c r="AC218" s="532"/>
      <c r="AD218" s="532"/>
      <c r="AE218" s="532"/>
      <c r="AF218" s="532"/>
      <c r="AG218" s="532"/>
      <c r="AH218" s="532"/>
      <c r="AI218" s="532"/>
      <c r="AJ218" s="532"/>
    </row>
    <row r="219" spans="13:36" ht="12.95" customHeight="1" x14ac:dyDescent="0.2">
      <c r="M219" s="532"/>
      <c r="N219" s="532"/>
      <c r="O219" s="532"/>
      <c r="P219" s="90"/>
      <c r="Q219" s="532"/>
      <c r="R219" s="219"/>
      <c r="S219" s="532"/>
      <c r="T219" s="90"/>
      <c r="U219" s="532"/>
      <c r="V219" s="532"/>
      <c r="W219" s="532"/>
      <c r="X219" s="532"/>
      <c r="Y219" s="532"/>
      <c r="Z219" s="532"/>
      <c r="AA219" s="532"/>
      <c r="AB219" s="532"/>
      <c r="AC219" s="532"/>
      <c r="AD219" s="532"/>
      <c r="AE219" s="532"/>
      <c r="AF219" s="532"/>
      <c r="AG219" s="532"/>
      <c r="AH219" s="532"/>
      <c r="AI219" s="532"/>
      <c r="AJ219" s="532"/>
    </row>
    <row r="220" spans="13:36" ht="12.95" customHeight="1" x14ac:dyDescent="0.2">
      <c r="M220" s="532"/>
      <c r="N220" s="532"/>
      <c r="O220" s="532"/>
      <c r="P220" s="90"/>
      <c r="Q220" s="532"/>
      <c r="R220" s="219"/>
      <c r="S220" s="532"/>
      <c r="T220" s="90"/>
      <c r="U220" s="532"/>
      <c r="V220" s="532"/>
      <c r="W220" s="532"/>
      <c r="X220" s="532"/>
      <c r="Y220" s="532"/>
      <c r="Z220" s="532"/>
      <c r="AA220" s="532"/>
      <c r="AB220" s="532"/>
      <c r="AC220" s="532"/>
      <c r="AD220" s="532"/>
      <c r="AE220" s="532"/>
      <c r="AF220" s="532"/>
      <c r="AG220" s="532"/>
      <c r="AH220" s="532"/>
      <c r="AI220" s="532"/>
      <c r="AJ220" s="532"/>
    </row>
    <row r="221" spans="13:36" ht="12.95" customHeight="1" x14ac:dyDescent="0.2">
      <c r="M221" s="532"/>
      <c r="N221" s="532"/>
      <c r="O221" s="532"/>
      <c r="P221" s="90"/>
      <c r="Q221" s="532"/>
      <c r="R221" s="219"/>
      <c r="S221" s="532"/>
      <c r="T221" s="90"/>
      <c r="U221" s="532"/>
      <c r="V221" s="532"/>
      <c r="W221" s="532"/>
      <c r="X221" s="532"/>
      <c r="Y221" s="532"/>
      <c r="Z221" s="532"/>
      <c r="AA221" s="532"/>
      <c r="AB221" s="532"/>
      <c r="AC221" s="532"/>
      <c r="AD221" s="532"/>
      <c r="AE221" s="532"/>
      <c r="AF221" s="532"/>
      <c r="AG221" s="532"/>
      <c r="AH221" s="532"/>
      <c r="AI221" s="532"/>
      <c r="AJ221" s="532"/>
    </row>
    <row r="222" spans="13:36" ht="12.95" customHeight="1" x14ac:dyDescent="0.2">
      <c r="M222" s="532"/>
      <c r="N222" s="532"/>
      <c r="O222" s="532"/>
      <c r="P222" s="90"/>
      <c r="Q222" s="532"/>
      <c r="R222" s="219"/>
      <c r="S222" s="532"/>
      <c r="T222" s="90"/>
      <c r="U222" s="532"/>
      <c r="V222" s="532"/>
      <c r="W222" s="532"/>
      <c r="X222" s="532"/>
      <c r="Y222" s="532"/>
      <c r="Z222" s="532"/>
      <c r="AA222" s="532"/>
      <c r="AB222" s="532"/>
      <c r="AC222" s="532"/>
      <c r="AD222" s="532"/>
      <c r="AE222" s="532"/>
      <c r="AF222" s="532"/>
      <c r="AG222" s="532"/>
      <c r="AH222" s="532"/>
      <c r="AI222" s="532"/>
      <c r="AJ222" s="532"/>
    </row>
    <row r="223" spans="13:36" ht="12.95" customHeight="1" x14ac:dyDescent="0.2">
      <c r="M223" s="532"/>
      <c r="N223" s="532"/>
      <c r="O223" s="532"/>
      <c r="P223" s="90"/>
      <c r="Q223" s="532"/>
      <c r="R223" s="219"/>
      <c r="S223" s="532"/>
      <c r="T223" s="90"/>
      <c r="U223" s="532"/>
      <c r="V223" s="532"/>
      <c r="W223" s="532"/>
      <c r="X223" s="532"/>
      <c r="Y223" s="532"/>
      <c r="Z223" s="532"/>
      <c r="AA223" s="532"/>
      <c r="AB223" s="532"/>
      <c r="AC223" s="532"/>
      <c r="AD223" s="532"/>
      <c r="AE223" s="532"/>
      <c r="AF223" s="532"/>
      <c r="AG223" s="532"/>
      <c r="AH223" s="532"/>
      <c r="AI223" s="532"/>
      <c r="AJ223" s="532"/>
    </row>
    <row r="224" spans="13:36" ht="12.95" customHeight="1" x14ac:dyDescent="0.2">
      <c r="M224" s="532"/>
      <c r="N224" s="532"/>
      <c r="O224" s="532"/>
      <c r="P224" s="90"/>
      <c r="Q224" s="532"/>
      <c r="R224" s="219"/>
      <c r="S224" s="532"/>
      <c r="T224" s="90"/>
      <c r="U224" s="532"/>
      <c r="V224" s="532"/>
      <c r="W224" s="532"/>
      <c r="X224" s="532"/>
      <c r="Y224" s="532"/>
      <c r="Z224" s="532"/>
      <c r="AA224" s="532"/>
      <c r="AB224" s="532"/>
      <c r="AC224" s="532"/>
      <c r="AD224" s="532"/>
      <c r="AE224" s="532"/>
      <c r="AF224" s="532"/>
      <c r="AG224" s="532"/>
      <c r="AH224" s="532"/>
      <c r="AI224" s="532"/>
      <c r="AJ224" s="532"/>
    </row>
    <row r="225" spans="13:36" ht="12.95" customHeight="1" x14ac:dyDescent="0.2">
      <c r="M225" s="532"/>
      <c r="N225" s="532"/>
      <c r="O225" s="532"/>
      <c r="P225" s="90"/>
      <c r="Q225" s="532"/>
      <c r="R225" s="219"/>
      <c r="S225" s="532"/>
      <c r="T225" s="90"/>
      <c r="U225" s="532"/>
      <c r="V225" s="532"/>
      <c r="W225" s="532"/>
      <c r="X225" s="532"/>
      <c r="Y225" s="532"/>
      <c r="Z225" s="532"/>
      <c r="AA225" s="532"/>
      <c r="AB225" s="532"/>
      <c r="AC225" s="532"/>
      <c r="AD225" s="532"/>
      <c r="AE225" s="532"/>
      <c r="AF225" s="532"/>
      <c r="AG225" s="532"/>
      <c r="AH225" s="532"/>
      <c r="AI225" s="532"/>
      <c r="AJ225" s="532"/>
    </row>
    <row r="226" spans="13:36" ht="12.95" customHeight="1" x14ac:dyDescent="0.2">
      <c r="M226" s="532"/>
      <c r="N226" s="532"/>
      <c r="O226" s="532"/>
      <c r="P226" s="90"/>
      <c r="Q226" s="532"/>
      <c r="R226" s="219"/>
      <c r="S226" s="532"/>
      <c r="T226" s="90"/>
      <c r="U226" s="532"/>
      <c r="V226" s="532"/>
      <c r="W226" s="532"/>
      <c r="X226" s="532"/>
      <c r="Y226" s="532"/>
      <c r="Z226" s="532"/>
      <c r="AA226" s="532"/>
      <c r="AB226" s="532"/>
      <c r="AC226" s="532"/>
      <c r="AD226" s="532"/>
      <c r="AE226" s="532"/>
      <c r="AF226" s="532"/>
      <c r="AG226" s="532"/>
      <c r="AH226" s="532"/>
      <c r="AI226" s="532"/>
      <c r="AJ226" s="532"/>
    </row>
    <row r="227" spans="13:36" ht="12.95" customHeight="1" x14ac:dyDescent="0.2">
      <c r="M227" s="532"/>
      <c r="N227" s="532"/>
      <c r="O227" s="532"/>
      <c r="P227" s="90"/>
      <c r="Q227" s="532"/>
      <c r="R227" s="219"/>
      <c r="S227" s="532"/>
      <c r="T227" s="90"/>
      <c r="U227" s="532"/>
      <c r="V227" s="532"/>
      <c r="W227" s="532"/>
      <c r="X227" s="532"/>
      <c r="Y227" s="532"/>
      <c r="Z227" s="532"/>
      <c r="AA227" s="532"/>
      <c r="AB227" s="532"/>
      <c r="AC227" s="532"/>
      <c r="AD227" s="532"/>
      <c r="AE227" s="532"/>
      <c r="AF227" s="532"/>
      <c r="AG227" s="532"/>
      <c r="AH227" s="532"/>
      <c r="AI227" s="532"/>
      <c r="AJ227" s="532"/>
    </row>
    <row r="228" spans="13:36" ht="12.95" customHeight="1" x14ac:dyDescent="0.2">
      <c r="M228" s="532"/>
      <c r="N228" s="532"/>
      <c r="O228" s="532"/>
      <c r="P228" s="90"/>
      <c r="Q228" s="532"/>
      <c r="R228" s="219"/>
      <c r="S228" s="532"/>
      <c r="T228" s="90"/>
      <c r="U228" s="532"/>
      <c r="V228" s="532"/>
      <c r="W228" s="532"/>
      <c r="X228" s="532"/>
      <c r="Y228" s="532"/>
      <c r="Z228" s="532"/>
      <c r="AA228" s="532"/>
      <c r="AB228" s="532"/>
      <c r="AC228" s="532"/>
      <c r="AD228" s="532"/>
      <c r="AE228" s="532"/>
      <c r="AF228" s="532"/>
      <c r="AG228" s="532"/>
      <c r="AH228" s="532"/>
      <c r="AI228" s="532"/>
      <c r="AJ228" s="532"/>
    </row>
    <row r="229" spans="13:36" ht="12.95" customHeight="1" x14ac:dyDescent="0.2">
      <c r="M229" s="532"/>
      <c r="N229" s="532"/>
      <c r="O229" s="532"/>
      <c r="P229" s="90"/>
      <c r="Q229" s="532"/>
      <c r="R229" s="219"/>
      <c r="S229" s="532"/>
      <c r="T229" s="90"/>
      <c r="U229" s="532"/>
      <c r="V229" s="532"/>
      <c r="W229" s="532"/>
      <c r="X229" s="532"/>
      <c r="Y229" s="532"/>
      <c r="Z229" s="532"/>
      <c r="AA229" s="532"/>
      <c r="AB229" s="532"/>
      <c r="AC229" s="532"/>
      <c r="AD229" s="532"/>
      <c r="AE229" s="532"/>
      <c r="AF229" s="532"/>
      <c r="AG229" s="532"/>
      <c r="AH229" s="532"/>
      <c r="AI229" s="532"/>
      <c r="AJ229" s="532"/>
    </row>
    <row r="230" spans="13:36" ht="12.95" customHeight="1" x14ac:dyDescent="0.2">
      <c r="M230" s="532"/>
      <c r="N230" s="532"/>
      <c r="O230" s="532"/>
      <c r="P230" s="90"/>
      <c r="Q230" s="532"/>
      <c r="R230" s="219"/>
      <c r="S230" s="532"/>
      <c r="T230" s="90"/>
      <c r="U230" s="532"/>
      <c r="V230" s="532"/>
      <c r="W230" s="532"/>
      <c r="X230" s="532"/>
      <c r="Y230" s="532"/>
      <c r="Z230" s="532"/>
      <c r="AA230" s="532"/>
      <c r="AB230" s="532"/>
      <c r="AC230" s="532"/>
      <c r="AD230" s="532"/>
      <c r="AE230" s="532"/>
      <c r="AF230" s="532"/>
      <c r="AG230" s="532"/>
      <c r="AH230" s="532"/>
      <c r="AI230" s="532"/>
      <c r="AJ230" s="532"/>
    </row>
    <row r="231" spans="13:36" ht="12.95" customHeight="1" x14ac:dyDescent="0.2">
      <c r="M231" s="532"/>
      <c r="N231" s="532"/>
      <c r="O231" s="532"/>
      <c r="P231" s="90"/>
      <c r="Q231" s="532"/>
      <c r="R231" s="219"/>
      <c r="S231" s="532"/>
      <c r="T231" s="90"/>
      <c r="U231" s="532"/>
      <c r="V231" s="532"/>
      <c r="W231" s="532"/>
      <c r="X231" s="532"/>
      <c r="Y231" s="532"/>
      <c r="Z231" s="532"/>
      <c r="AA231" s="532"/>
      <c r="AB231" s="532"/>
      <c r="AC231" s="532"/>
      <c r="AD231" s="532"/>
      <c r="AE231" s="532"/>
      <c r="AF231" s="532"/>
      <c r="AG231" s="532"/>
      <c r="AH231" s="532"/>
      <c r="AI231" s="532"/>
      <c r="AJ231" s="532"/>
    </row>
    <row r="232" spans="13:36" ht="12.95" customHeight="1" x14ac:dyDescent="0.2">
      <c r="M232" s="532"/>
      <c r="N232" s="532"/>
      <c r="O232" s="532"/>
      <c r="P232" s="90"/>
      <c r="Q232" s="532"/>
      <c r="R232" s="219"/>
      <c r="S232" s="532"/>
      <c r="T232" s="90"/>
      <c r="U232" s="532"/>
      <c r="V232" s="532"/>
      <c r="W232" s="532"/>
      <c r="X232" s="532"/>
      <c r="Y232" s="532"/>
      <c r="Z232" s="532"/>
      <c r="AA232" s="532"/>
      <c r="AB232" s="532"/>
      <c r="AC232" s="532"/>
      <c r="AD232" s="532"/>
      <c r="AE232" s="532"/>
      <c r="AF232" s="532"/>
      <c r="AG232" s="532"/>
      <c r="AH232" s="532"/>
      <c r="AI232" s="532"/>
      <c r="AJ232" s="532"/>
    </row>
    <row r="233" spans="13:36" ht="12.95" customHeight="1" x14ac:dyDescent="0.2">
      <c r="M233" s="532"/>
      <c r="N233" s="532"/>
      <c r="O233" s="532"/>
      <c r="P233" s="90"/>
      <c r="Q233" s="532"/>
      <c r="R233" s="219"/>
      <c r="S233" s="532"/>
      <c r="T233" s="90"/>
      <c r="U233" s="532"/>
      <c r="V233" s="532"/>
      <c r="W233" s="532"/>
      <c r="X233" s="532"/>
      <c r="Y233" s="532"/>
      <c r="Z233" s="532"/>
      <c r="AA233" s="532"/>
      <c r="AB233" s="532"/>
      <c r="AC233" s="532"/>
      <c r="AD233" s="532"/>
      <c r="AE233" s="532"/>
      <c r="AF233" s="532"/>
      <c r="AG233" s="532"/>
      <c r="AH233" s="532"/>
      <c r="AI233" s="532"/>
      <c r="AJ233" s="532"/>
    </row>
    <row r="234" spans="13:36" ht="12.95" customHeight="1" x14ac:dyDescent="0.2">
      <c r="M234" s="532"/>
      <c r="N234" s="532"/>
      <c r="O234" s="532"/>
      <c r="P234" s="90"/>
      <c r="Q234" s="532"/>
      <c r="R234" s="219"/>
      <c r="S234" s="532"/>
      <c r="T234" s="90"/>
      <c r="U234" s="532"/>
      <c r="V234" s="532"/>
      <c r="W234" s="532"/>
      <c r="X234" s="532"/>
      <c r="Y234" s="532"/>
      <c r="Z234" s="532"/>
      <c r="AA234" s="532"/>
      <c r="AB234" s="532"/>
      <c r="AC234" s="532"/>
      <c r="AD234" s="532"/>
      <c r="AE234" s="532"/>
      <c r="AF234" s="532"/>
      <c r="AG234" s="532"/>
      <c r="AH234" s="532"/>
      <c r="AI234" s="532"/>
      <c r="AJ234" s="532"/>
    </row>
    <row r="235" spans="13:36" ht="12.95" customHeight="1" x14ac:dyDescent="0.2">
      <c r="M235" s="532"/>
      <c r="N235" s="532"/>
      <c r="O235" s="532"/>
      <c r="P235" s="90"/>
      <c r="Q235" s="532"/>
      <c r="R235" s="219"/>
      <c r="S235" s="532"/>
      <c r="T235" s="90"/>
      <c r="U235" s="532"/>
      <c r="V235" s="532"/>
      <c r="W235" s="532"/>
      <c r="X235" s="532"/>
      <c r="Y235" s="532"/>
      <c r="Z235" s="532"/>
      <c r="AA235" s="532"/>
      <c r="AB235" s="532"/>
      <c r="AC235" s="532"/>
      <c r="AD235" s="532"/>
      <c r="AE235" s="532"/>
      <c r="AF235" s="532"/>
      <c r="AG235" s="532"/>
      <c r="AH235" s="532"/>
      <c r="AI235" s="532"/>
      <c r="AJ235" s="532"/>
    </row>
    <row r="236" spans="13:36" ht="12.95" customHeight="1" x14ac:dyDescent="0.2">
      <c r="M236" s="532"/>
      <c r="N236" s="532"/>
      <c r="O236" s="532"/>
      <c r="P236" s="90"/>
      <c r="Q236" s="532"/>
      <c r="R236" s="219"/>
      <c r="S236" s="532"/>
      <c r="T236" s="90"/>
      <c r="U236" s="532"/>
      <c r="V236" s="532"/>
      <c r="W236" s="532"/>
      <c r="X236" s="532"/>
      <c r="Y236" s="532"/>
      <c r="Z236" s="532"/>
      <c r="AA236" s="532"/>
      <c r="AB236" s="532"/>
      <c r="AC236" s="532"/>
      <c r="AD236" s="532"/>
      <c r="AE236" s="532"/>
      <c r="AF236" s="532"/>
      <c r="AG236" s="532"/>
      <c r="AH236" s="532"/>
      <c r="AI236" s="532"/>
      <c r="AJ236" s="532"/>
    </row>
    <row r="237" spans="13:36" ht="12.95" customHeight="1" x14ac:dyDescent="0.2">
      <c r="M237" s="532"/>
      <c r="N237" s="532"/>
      <c r="O237" s="532"/>
      <c r="P237" s="90"/>
      <c r="Q237" s="532"/>
      <c r="R237" s="219"/>
      <c r="S237" s="532"/>
      <c r="T237" s="90"/>
      <c r="U237" s="532"/>
      <c r="V237" s="532"/>
      <c r="W237" s="532"/>
      <c r="X237" s="532"/>
      <c r="Y237" s="532"/>
      <c r="Z237" s="532"/>
      <c r="AA237" s="532"/>
      <c r="AB237" s="532"/>
      <c r="AC237" s="532"/>
      <c r="AD237" s="532"/>
      <c r="AE237" s="532"/>
      <c r="AF237" s="532"/>
      <c r="AG237" s="532"/>
      <c r="AH237" s="532"/>
      <c r="AI237" s="532"/>
      <c r="AJ237" s="532"/>
    </row>
    <row r="238" spans="13:36" ht="12.95" customHeight="1" x14ac:dyDescent="0.2">
      <c r="M238" s="532"/>
      <c r="N238" s="532"/>
      <c r="O238" s="532"/>
      <c r="P238" s="90"/>
      <c r="Q238" s="532"/>
      <c r="R238" s="219"/>
      <c r="S238" s="532"/>
      <c r="T238" s="90"/>
      <c r="U238" s="532"/>
      <c r="V238" s="532"/>
      <c r="W238" s="532"/>
      <c r="X238" s="532"/>
      <c r="Y238" s="532"/>
      <c r="Z238" s="532"/>
      <c r="AA238" s="532"/>
      <c r="AB238" s="532"/>
      <c r="AC238" s="532"/>
      <c r="AD238" s="532"/>
      <c r="AE238" s="532"/>
      <c r="AF238" s="532"/>
      <c r="AG238" s="532"/>
      <c r="AH238" s="532"/>
      <c r="AI238" s="532"/>
      <c r="AJ238" s="532"/>
    </row>
    <row r="239" spans="13:36" ht="12.95" customHeight="1" x14ac:dyDescent="0.2">
      <c r="M239" s="532"/>
      <c r="N239" s="532"/>
      <c r="O239" s="532"/>
      <c r="P239" s="90"/>
      <c r="Q239" s="532"/>
      <c r="R239" s="219"/>
      <c r="S239" s="532"/>
      <c r="T239" s="90"/>
      <c r="U239" s="532"/>
      <c r="V239" s="532"/>
      <c r="W239" s="532"/>
      <c r="X239" s="532"/>
      <c r="Y239" s="532"/>
      <c r="Z239" s="532"/>
      <c r="AA239" s="532"/>
      <c r="AB239" s="532"/>
      <c r="AC239" s="532"/>
      <c r="AD239" s="532"/>
      <c r="AE239" s="532"/>
      <c r="AF239" s="532"/>
      <c r="AG239" s="532"/>
      <c r="AH239" s="532"/>
      <c r="AI239" s="532"/>
      <c r="AJ239" s="532"/>
    </row>
    <row r="240" spans="13:36" ht="12.95" customHeight="1" x14ac:dyDescent="0.2">
      <c r="M240" s="532"/>
      <c r="N240" s="532"/>
      <c r="O240" s="532"/>
      <c r="P240" s="90"/>
      <c r="Q240" s="532"/>
      <c r="R240" s="219"/>
      <c r="S240" s="532"/>
      <c r="T240" s="90"/>
      <c r="U240" s="532"/>
      <c r="V240" s="532"/>
      <c r="W240" s="532"/>
      <c r="X240" s="532"/>
      <c r="Y240" s="532"/>
      <c r="Z240" s="532"/>
      <c r="AA240" s="532"/>
      <c r="AB240" s="532"/>
      <c r="AC240" s="532"/>
      <c r="AD240" s="532"/>
      <c r="AE240" s="532"/>
      <c r="AF240" s="532"/>
      <c r="AG240" s="532"/>
      <c r="AH240" s="532"/>
      <c r="AI240" s="532"/>
      <c r="AJ240" s="532"/>
    </row>
    <row r="241" spans="13:36" ht="12.95" customHeight="1" x14ac:dyDescent="0.2">
      <c r="M241" s="532"/>
      <c r="N241" s="532"/>
      <c r="O241" s="532"/>
      <c r="P241" s="90"/>
      <c r="Q241" s="532"/>
      <c r="R241" s="219"/>
      <c r="S241" s="532"/>
      <c r="T241" s="90"/>
      <c r="U241" s="532"/>
      <c r="V241" s="532"/>
      <c r="W241" s="532"/>
      <c r="X241" s="532"/>
      <c r="Y241" s="532"/>
      <c r="Z241" s="532"/>
      <c r="AA241" s="532"/>
      <c r="AB241" s="532"/>
      <c r="AC241" s="532"/>
      <c r="AD241" s="532"/>
      <c r="AE241" s="532"/>
      <c r="AF241" s="532"/>
      <c r="AG241" s="532"/>
      <c r="AH241" s="532"/>
      <c r="AI241" s="532"/>
      <c r="AJ241" s="532"/>
    </row>
    <row r="242" spans="13:36" ht="12.95" customHeight="1" x14ac:dyDescent="0.2">
      <c r="M242" s="532"/>
      <c r="N242" s="532"/>
      <c r="O242" s="532"/>
      <c r="P242" s="90"/>
      <c r="Q242" s="532"/>
      <c r="R242" s="219"/>
      <c r="S242" s="532"/>
      <c r="T242" s="90"/>
      <c r="U242" s="532"/>
      <c r="V242" s="532"/>
      <c r="W242" s="532"/>
      <c r="X242" s="532"/>
      <c r="Y242" s="532"/>
      <c r="Z242" s="532"/>
      <c r="AA242" s="532"/>
      <c r="AB242" s="532"/>
      <c r="AC242" s="532"/>
      <c r="AD242" s="532"/>
      <c r="AE242" s="532"/>
      <c r="AF242" s="532"/>
      <c r="AG242" s="532"/>
      <c r="AH242" s="532"/>
      <c r="AI242" s="532"/>
      <c r="AJ242" s="532"/>
    </row>
    <row r="243" spans="13:36" ht="12.95" customHeight="1" x14ac:dyDescent="0.2">
      <c r="M243" s="532"/>
      <c r="N243" s="532"/>
      <c r="O243" s="532"/>
      <c r="P243" s="90"/>
      <c r="Q243" s="532"/>
      <c r="R243" s="219"/>
      <c r="S243" s="532"/>
      <c r="T243" s="90"/>
      <c r="U243" s="532"/>
      <c r="V243" s="532"/>
      <c r="W243" s="532"/>
      <c r="X243" s="532"/>
      <c r="Y243" s="532"/>
      <c r="Z243" s="532"/>
      <c r="AA243" s="532"/>
      <c r="AB243" s="532"/>
      <c r="AC243" s="532"/>
      <c r="AD243" s="532"/>
      <c r="AE243" s="532"/>
      <c r="AF243" s="532"/>
      <c r="AG243" s="532"/>
      <c r="AH243" s="532"/>
      <c r="AI243" s="532"/>
      <c r="AJ243" s="532"/>
    </row>
    <row r="244" spans="13:36" ht="12.95" customHeight="1" x14ac:dyDescent="0.2">
      <c r="M244" s="532"/>
      <c r="N244" s="532"/>
      <c r="O244" s="532"/>
      <c r="P244" s="90"/>
      <c r="Q244" s="532"/>
      <c r="R244" s="219"/>
      <c r="S244" s="532"/>
      <c r="T244" s="90"/>
      <c r="U244" s="532"/>
      <c r="V244" s="532"/>
      <c r="W244" s="532"/>
      <c r="X244" s="532"/>
      <c r="Y244" s="532"/>
      <c r="Z244" s="532"/>
      <c r="AA244" s="532"/>
      <c r="AB244" s="532"/>
      <c r="AC244" s="532"/>
      <c r="AD244" s="532"/>
      <c r="AE244" s="532"/>
      <c r="AF244" s="532"/>
      <c r="AG244" s="532"/>
      <c r="AH244" s="532"/>
      <c r="AI244" s="532"/>
      <c r="AJ244" s="532"/>
    </row>
    <row r="245" spans="13:36" ht="12.95" customHeight="1" x14ac:dyDescent="0.2">
      <c r="M245" s="532"/>
      <c r="N245" s="532"/>
      <c r="O245" s="532"/>
      <c r="P245" s="90"/>
      <c r="Q245" s="532"/>
      <c r="R245" s="219"/>
      <c r="S245" s="532"/>
      <c r="T245" s="90"/>
      <c r="U245" s="532"/>
      <c r="V245" s="532"/>
      <c r="W245" s="532"/>
      <c r="X245" s="532"/>
      <c r="Y245" s="532"/>
      <c r="Z245" s="532"/>
      <c r="AA245" s="532"/>
      <c r="AB245" s="532"/>
      <c r="AC245" s="532"/>
      <c r="AD245" s="532"/>
      <c r="AE245" s="532"/>
      <c r="AF245" s="532"/>
      <c r="AG245" s="532"/>
      <c r="AH245" s="532"/>
      <c r="AI245" s="532"/>
      <c r="AJ245" s="532"/>
    </row>
    <row r="246" spans="13:36" ht="12.95" customHeight="1" x14ac:dyDescent="0.2">
      <c r="M246" s="532"/>
      <c r="N246" s="532"/>
      <c r="O246" s="532"/>
      <c r="P246" s="90"/>
      <c r="Q246" s="532"/>
      <c r="R246" s="219"/>
      <c r="S246" s="532"/>
      <c r="T246" s="90"/>
      <c r="U246" s="532"/>
      <c r="V246" s="532"/>
      <c r="W246" s="532"/>
      <c r="X246" s="532"/>
      <c r="Y246" s="532"/>
      <c r="Z246" s="532"/>
      <c r="AA246" s="532"/>
      <c r="AB246" s="532"/>
      <c r="AC246" s="532"/>
      <c r="AD246" s="532"/>
      <c r="AE246" s="532"/>
      <c r="AF246" s="532"/>
      <c r="AG246" s="532"/>
      <c r="AH246" s="532"/>
      <c r="AI246" s="532"/>
      <c r="AJ246" s="532"/>
    </row>
    <row r="247" spans="13:36" ht="12.95" customHeight="1" x14ac:dyDescent="0.2">
      <c r="M247" s="532"/>
      <c r="N247" s="532"/>
      <c r="O247" s="532"/>
      <c r="P247" s="90"/>
      <c r="Q247" s="532"/>
      <c r="R247" s="219"/>
      <c r="S247" s="532"/>
      <c r="T247" s="90"/>
      <c r="U247" s="532"/>
      <c r="V247" s="532"/>
      <c r="W247" s="532"/>
      <c r="X247" s="532"/>
      <c r="Y247" s="532"/>
      <c r="Z247" s="532"/>
      <c r="AA247" s="532"/>
      <c r="AB247" s="532"/>
      <c r="AC247" s="532"/>
      <c r="AD247" s="532"/>
      <c r="AE247" s="532"/>
      <c r="AF247" s="532"/>
      <c r="AG247" s="532"/>
      <c r="AH247" s="532"/>
      <c r="AI247" s="532"/>
      <c r="AJ247" s="532"/>
    </row>
    <row r="248" spans="13:36" ht="12.95" customHeight="1" x14ac:dyDescent="0.2">
      <c r="M248" s="532"/>
      <c r="N248" s="532"/>
      <c r="O248" s="532"/>
      <c r="P248" s="90"/>
      <c r="Q248" s="532"/>
      <c r="R248" s="219"/>
      <c r="S248" s="532"/>
      <c r="T248" s="90"/>
      <c r="U248" s="532"/>
      <c r="V248" s="532"/>
      <c r="W248" s="532"/>
      <c r="X248" s="532"/>
      <c r="Y248" s="532"/>
      <c r="Z248" s="532"/>
      <c r="AA248" s="532"/>
      <c r="AB248" s="532"/>
      <c r="AC248" s="532"/>
      <c r="AD248" s="532"/>
      <c r="AE248" s="532"/>
      <c r="AF248" s="532"/>
      <c r="AG248" s="532"/>
      <c r="AH248" s="532"/>
      <c r="AI248" s="532"/>
      <c r="AJ248" s="532"/>
    </row>
    <row r="249" spans="13:36" ht="12.95" customHeight="1" x14ac:dyDescent="0.2">
      <c r="M249" s="532"/>
      <c r="N249" s="532"/>
      <c r="O249" s="532"/>
      <c r="P249" s="90"/>
      <c r="Q249" s="532"/>
      <c r="R249" s="219"/>
      <c r="S249" s="532"/>
      <c r="T249" s="90"/>
      <c r="U249" s="532"/>
      <c r="V249" s="532"/>
      <c r="W249" s="532"/>
      <c r="X249" s="532"/>
      <c r="Y249" s="532"/>
      <c r="Z249" s="532"/>
      <c r="AA249" s="532"/>
      <c r="AB249" s="532"/>
      <c r="AC249" s="532"/>
      <c r="AD249" s="532"/>
      <c r="AE249" s="532"/>
      <c r="AF249" s="532"/>
      <c r="AG249" s="532"/>
      <c r="AH249" s="532"/>
      <c r="AI249" s="532"/>
      <c r="AJ249" s="532"/>
    </row>
    <row r="250" spans="13:36" ht="12.95" customHeight="1" x14ac:dyDescent="0.2">
      <c r="M250" s="532"/>
      <c r="N250" s="532"/>
      <c r="O250" s="532"/>
      <c r="P250" s="90"/>
      <c r="Q250" s="532"/>
      <c r="R250" s="219"/>
      <c r="S250" s="532"/>
      <c r="T250" s="90"/>
      <c r="U250" s="532"/>
      <c r="V250" s="532"/>
      <c r="W250" s="532"/>
      <c r="X250" s="532"/>
      <c r="Y250" s="532"/>
      <c r="Z250" s="532"/>
      <c r="AA250" s="532"/>
      <c r="AB250" s="532"/>
      <c r="AC250" s="532"/>
      <c r="AD250" s="532"/>
      <c r="AE250" s="532"/>
      <c r="AF250" s="532"/>
      <c r="AG250" s="532"/>
      <c r="AH250" s="532"/>
      <c r="AI250" s="532"/>
      <c r="AJ250" s="532"/>
    </row>
    <row r="251" spans="13:36" ht="12.95" customHeight="1" x14ac:dyDescent="0.2">
      <c r="M251" s="532"/>
      <c r="N251" s="532"/>
      <c r="O251" s="532"/>
      <c r="P251" s="90"/>
      <c r="Q251" s="532"/>
      <c r="R251" s="219"/>
      <c r="S251" s="532"/>
      <c r="T251" s="90"/>
      <c r="U251" s="532"/>
      <c r="V251" s="532"/>
      <c r="W251" s="532"/>
      <c r="X251" s="532"/>
      <c r="Y251" s="532"/>
      <c r="Z251" s="532"/>
      <c r="AA251" s="532"/>
      <c r="AB251" s="532"/>
      <c r="AC251" s="532"/>
      <c r="AD251" s="532"/>
      <c r="AE251" s="532"/>
      <c r="AF251" s="532"/>
      <c r="AG251" s="532"/>
      <c r="AH251" s="532"/>
      <c r="AI251" s="532"/>
      <c r="AJ251" s="532"/>
    </row>
    <row r="252" spans="13:36" ht="12.95" customHeight="1" x14ac:dyDescent="0.2">
      <c r="M252" s="532"/>
      <c r="N252" s="532"/>
      <c r="O252" s="532"/>
      <c r="P252" s="90"/>
      <c r="Q252" s="532"/>
      <c r="R252" s="219"/>
      <c r="S252" s="532"/>
      <c r="T252" s="90"/>
      <c r="U252" s="532"/>
      <c r="V252" s="532"/>
      <c r="W252" s="532"/>
      <c r="X252" s="532"/>
      <c r="Y252" s="532"/>
      <c r="Z252" s="532"/>
      <c r="AA252" s="532"/>
      <c r="AB252" s="532"/>
      <c r="AC252" s="532"/>
      <c r="AD252" s="532"/>
      <c r="AE252" s="532"/>
      <c r="AF252" s="532"/>
      <c r="AG252" s="532"/>
      <c r="AH252" s="532"/>
      <c r="AI252" s="532"/>
      <c r="AJ252" s="532"/>
    </row>
    <row r="253" spans="13:36" ht="12.95" customHeight="1" x14ac:dyDescent="0.2">
      <c r="M253" s="532"/>
      <c r="N253" s="532"/>
      <c r="O253" s="532"/>
      <c r="P253" s="90"/>
      <c r="Q253" s="532"/>
      <c r="R253" s="219"/>
      <c r="S253" s="532"/>
      <c r="T253" s="90"/>
      <c r="U253" s="532"/>
      <c r="V253" s="532"/>
      <c r="W253" s="532"/>
      <c r="X253" s="532"/>
      <c r="Y253" s="532"/>
      <c r="Z253" s="532"/>
      <c r="AA253" s="532"/>
      <c r="AB253" s="532"/>
      <c r="AC253" s="532"/>
      <c r="AD253" s="532"/>
      <c r="AE253" s="532"/>
      <c r="AF253" s="532"/>
      <c r="AG253" s="532"/>
      <c r="AH253" s="532"/>
      <c r="AI253" s="532"/>
      <c r="AJ253" s="532"/>
    </row>
    <row r="254" spans="13:36" ht="12.95" customHeight="1" x14ac:dyDescent="0.2">
      <c r="M254" s="532"/>
      <c r="N254" s="532"/>
      <c r="O254" s="532"/>
      <c r="P254" s="90"/>
      <c r="Q254" s="532"/>
      <c r="R254" s="219"/>
      <c r="S254" s="532"/>
      <c r="T254" s="90"/>
      <c r="U254" s="532"/>
      <c r="V254" s="532"/>
      <c r="W254" s="532"/>
      <c r="X254" s="532"/>
      <c r="Y254" s="532"/>
      <c r="Z254" s="532"/>
      <c r="AA254" s="532"/>
      <c r="AB254" s="532"/>
      <c r="AC254" s="532"/>
      <c r="AD254" s="532"/>
      <c r="AE254" s="532"/>
      <c r="AF254" s="532"/>
      <c r="AG254" s="532"/>
      <c r="AH254" s="532"/>
      <c r="AI254" s="532"/>
      <c r="AJ254" s="532"/>
    </row>
    <row r="255" spans="13:36" ht="12.95" customHeight="1" x14ac:dyDescent="0.2">
      <c r="M255" s="532"/>
      <c r="N255" s="532"/>
      <c r="O255" s="532"/>
      <c r="P255" s="90"/>
      <c r="Q255" s="532"/>
      <c r="R255" s="219"/>
      <c r="S255" s="532"/>
      <c r="T255" s="90"/>
      <c r="U255" s="532"/>
      <c r="V255" s="532"/>
      <c r="W255" s="532"/>
      <c r="X255" s="532"/>
      <c r="Y255" s="532"/>
      <c r="Z255" s="532"/>
      <c r="AA255" s="532"/>
      <c r="AB255" s="532"/>
      <c r="AC255" s="532"/>
      <c r="AD255" s="532"/>
      <c r="AE255" s="532"/>
      <c r="AF255" s="532"/>
      <c r="AG255" s="532"/>
      <c r="AH255" s="532"/>
      <c r="AI255" s="532"/>
      <c r="AJ255" s="532"/>
    </row>
    <row r="256" spans="13:36" ht="12.95" customHeight="1" x14ac:dyDescent="0.2">
      <c r="M256" s="532"/>
      <c r="N256" s="532"/>
      <c r="O256" s="532"/>
      <c r="P256" s="90"/>
      <c r="Q256" s="532"/>
      <c r="R256" s="219"/>
      <c r="S256" s="532"/>
      <c r="T256" s="90"/>
      <c r="U256" s="532"/>
      <c r="V256" s="532"/>
      <c r="W256" s="532"/>
      <c r="X256" s="532"/>
      <c r="Y256" s="532"/>
      <c r="Z256" s="532"/>
      <c r="AA256" s="532"/>
      <c r="AB256" s="532"/>
      <c r="AC256" s="532"/>
      <c r="AD256" s="532"/>
      <c r="AE256" s="532"/>
      <c r="AF256" s="532"/>
      <c r="AG256" s="532"/>
      <c r="AH256" s="532"/>
      <c r="AI256" s="532"/>
      <c r="AJ256" s="532"/>
    </row>
    <row r="257" spans="13:36" ht="12.95" customHeight="1" x14ac:dyDescent="0.2">
      <c r="M257" s="532"/>
      <c r="N257" s="532"/>
      <c r="O257" s="532"/>
      <c r="P257" s="90"/>
      <c r="Q257" s="532"/>
      <c r="R257" s="219"/>
      <c r="S257" s="532"/>
      <c r="T257" s="90"/>
      <c r="U257" s="532"/>
      <c r="V257" s="532"/>
      <c r="W257" s="532"/>
      <c r="X257" s="532"/>
      <c r="Y257" s="532"/>
      <c r="Z257" s="532"/>
      <c r="AA257" s="532"/>
      <c r="AB257" s="532"/>
      <c r="AC257" s="532"/>
      <c r="AD257" s="532"/>
      <c r="AE257" s="532"/>
      <c r="AF257" s="532"/>
      <c r="AG257" s="532"/>
      <c r="AH257" s="532"/>
      <c r="AI257" s="532"/>
      <c r="AJ257" s="532"/>
    </row>
    <row r="258" spans="13:36" ht="12.95" customHeight="1" x14ac:dyDescent="0.2">
      <c r="M258" s="532"/>
      <c r="N258" s="532"/>
      <c r="O258" s="532"/>
      <c r="P258" s="90"/>
      <c r="Q258" s="532"/>
      <c r="R258" s="219"/>
      <c r="S258" s="532"/>
      <c r="T258" s="90"/>
      <c r="U258" s="532"/>
      <c r="V258" s="532"/>
      <c r="W258" s="532"/>
      <c r="X258" s="532"/>
      <c r="Y258" s="532"/>
      <c r="Z258" s="532"/>
      <c r="AA258" s="532"/>
      <c r="AB258" s="532"/>
      <c r="AC258" s="532"/>
      <c r="AD258" s="532"/>
      <c r="AE258" s="532"/>
      <c r="AF258" s="532"/>
      <c r="AG258" s="532"/>
      <c r="AH258" s="532"/>
      <c r="AI258" s="532"/>
      <c r="AJ258" s="532"/>
    </row>
    <row r="259" spans="13:36" ht="12.95" customHeight="1" x14ac:dyDescent="0.2">
      <c r="M259" s="532"/>
      <c r="N259" s="532"/>
      <c r="O259" s="532"/>
      <c r="P259" s="90"/>
      <c r="Q259" s="532"/>
      <c r="R259" s="219"/>
      <c r="S259" s="532"/>
      <c r="T259" s="90"/>
      <c r="U259" s="532"/>
      <c r="V259" s="532"/>
      <c r="W259" s="532"/>
      <c r="X259" s="532"/>
      <c r="Y259" s="532"/>
      <c r="Z259" s="532"/>
      <c r="AA259" s="532"/>
      <c r="AB259" s="532"/>
      <c r="AC259" s="532"/>
      <c r="AD259" s="532"/>
      <c r="AE259" s="532"/>
      <c r="AF259" s="532"/>
      <c r="AG259" s="532"/>
      <c r="AH259" s="532"/>
      <c r="AI259" s="532"/>
      <c r="AJ259" s="532"/>
    </row>
    <row r="260" spans="13:36" ht="12.95" customHeight="1" x14ac:dyDescent="0.2">
      <c r="M260" s="532"/>
      <c r="N260" s="532"/>
      <c r="O260" s="532"/>
      <c r="P260" s="90"/>
      <c r="Q260" s="532"/>
      <c r="R260" s="219"/>
      <c r="S260" s="532"/>
      <c r="T260" s="90"/>
      <c r="U260" s="532"/>
      <c r="V260" s="532"/>
      <c r="W260" s="532"/>
      <c r="X260" s="532"/>
      <c r="Y260" s="532"/>
      <c r="Z260" s="532"/>
      <c r="AA260" s="532"/>
      <c r="AB260" s="532"/>
      <c r="AC260" s="532"/>
      <c r="AD260" s="532"/>
      <c r="AE260" s="532"/>
      <c r="AF260" s="532"/>
      <c r="AG260" s="532"/>
      <c r="AH260" s="532"/>
      <c r="AI260" s="532"/>
      <c r="AJ260" s="532"/>
    </row>
    <row r="261" spans="13:36" ht="12.95" customHeight="1" x14ac:dyDescent="0.2">
      <c r="M261" s="532"/>
      <c r="N261" s="532"/>
      <c r="O261" s="532"/>
      <c r="P261" s="90"/>
      <c r="Q261" s="532"/>
      <c r="R261" s="219"/>
      <c r="S261" s="532"/>
      <c r="T261" s="90"/>
      <c r="U261" s="532"/>
      <c r="V261" s="532"/>
      <c r="W261" s="532"/>
      <c r="X261" s="532"/>
      <c r="Y261" s="532"/>
      <c r="Z261" s="532"/>
      <c r="AA261" s="532"/>
      <c r="AB261" s="532"/>
      <c r="AC261" s="532"/>
      <c r="AD261" s="532"/>
      <c r="AE261" s="532"/>
      <c r="AF261" s="532"/>
      <c r="AG261" s="532"/>
      <c r="AH261" s="532"/>
      <c r="AI261" s="532"/>
      <c r="AJ261" s="532"/>
    </row>
    <row r="262" spans="13:36" ht="12.95" customHeight="1" x14ac:dyDescent="0.2">
      <c r="M262" s="532"/>
      <c r="N262" s="532"/>
      <c r="O262" s="532"/>
      <c r="P262" s="90"/>
      <c r="Q262" s="532"/>
      <c r="R262" s="219"/>
      <c r="S262" s="532"/>
      <c r="T262" s="90"/>
      <c r="U262" s="532"/>
      <c r="V262" s="532"/>
      <c r="W262" s="532"/>
      <c r="X262" s="532"/>
      <c r="Y262" s="532"/>
      <c r="Z262" s="532"/>
      <c r="AA262" s="532"/>
      <c r="AB262" s="532"/>
      <c r="AC262" s="532"/>
      <c r="AD262" s="532"/>
      <c r="AE262" s="532"/>
      <c r="AF262" s="532"/>
      <c r="AG262" s="532"/>
      <c r="AH262" s="532"/>
      <c r="AI262" s="532"/>
      <c r="AJ262" s="532"/>
    </row>
    <row r="263" spans="13:36" ht="12.95" customHeight="1" x14ac:dyDescent="0.2">
      <c r="M263" s="532"/>
      <c r="N263" s="532"/>
      <c r="O263" s="532"/>
      <c r="P263" s="90"/>
      <c r="Q263" s="532"/>
      <c r="R263" s="219"/>
      <c r="S263" s="532"/>
      <c r="T263" s="90"/>
      <c r="U263" s="532"/>
      <c r="V263" s="532"/>
      <c r="W263" s="532"/>
      <c r="X263" s="532"/>
      <c r="Y263" s="532"/>
      <c r="Z263" s="532"/>
      <c r="AA263" s="532"/>
      <c r="AB263" s="532"/>
      <c r="AC263" s="532"/>
      <c r="AD263" s="532"/>
      <c r="AE263" s="532"/>
      <c r="AF263" s="532"/>
      <c r="AG263" s="532"/>
      <c r="AH263" s="532"/>
      <c r="AI263" s="532"/>
      <c r="AJ263" s="532"/>
    </row>
    <row r="264" spans="13:36" ht="12.95" customHeight="1" x14ac:dyDescent="0.2">
      <c r="M264" s="532"/>
      <c r="N264" s="532"/>
      <c r="O264" s="532"/>
      <c r="P264" s="90"/>
      <c r="Q264" s="532"/>
      <c r="R264" s="219"/>
      <c r="S264" s="532"/>
      <c r="T264" s="90"/>
      <c r="U264" s="532"/>
      <c r="V264" s="532"/>
      <c r="W264" s="532"/>
      <c r="X264" s="532"/>
      <c r="Y264" s="532"/>
      <c r="Z264" s="532"/>
      <c r="AA264" s="532"/>
      <c r="AB264" s="532"/>
      <c r="AC264" s="532"/>
      <c r="AD264" s="532"/>
      <c r="AE264" s="532"/>
      <c r="AF264" s="532"/>
      <c r="AG264" s="532"/>
      <c r="AH264" s="532"/>
      <c r="AI264" s="532"/>
      <c r="AJ264" s="532"/>
    </row>
    <row r="265" spans="13:36" ht="12.95" customHeight="1" x14ac:dyDescent="0.2">
      <c r="M265" s="532"/>
      <c r="N265" s="532"/>
      <c r="O265" s="532"/>
      <c r="P265" s="90"/>
      <c r="Q265" s="532"/>
      <c r="R265" s="219"/>
      <c r="S265" s="532"/>
      <c r="T265" s="90"/>
      <c r="U265" s="532"/>
      <c r="V265" s="532"/>
      <c r="W265" s="532"/>
      <c r="X265" s="532"/>
      <c r="Y265" s="532"/>
      <c r="Z265" s="532"/>
      <c r="AA265" s="532"/>
      <c r="AB265" s="532"/>
      <c r="AC265" s="532"/>
      <c r="AD265" s="532"/>
      <c r="AE265" s="532"/>
      <c r="AF265" s="532"/>
      <c r="AG265" s="532"/>
      <c r="AH265" s="532"/>
      <c r="AI265" s="532"/>
      <c r="AJ265" s="532"/>
    </row>
    <row r="266" spans="13:36" ht="12.95" customHeight="1" x14ac:dyDescent="0.2">
      <c r="M266" s="532"/>
      <c r="N266" s="532"/>
      <c r="O266" s="532"/>
      <c r="P266" s="90"/>
      <c r="Q266" s="532"/>
      <c r="R266" s="219"/>
      <c r="S266" s="532"/>
      <c r="T266" s="90"/>
      <c r="U266" s="532"/>
      <c r="V266" s="532"/>
      <c r="W266" s="532"/>
      <c r="X266" s="532"/>
      <c r="Y266" s="532"/>
      <c r="Z266" s="532"/>
      <c r="AA266" s="532"/>
      <c r="AB266" s="532"/>
      <c r="AC266" s="532"/>
      <c r="AD266" s="532"/>
      <c r="AE266" s="532"/>
      <c r="AF266" s="532"/>
      <c r="AG266" s="532"/>
      <c r="AH266" s="532"/>
      <c r="AI266" s="532"/>
      <c r="AJ266" s="532"/>
    </row>
    <row r="267" spans="13:36" ht="12.95" customHeight="1" x14ac:dyDescent="0.2">
      <c r="M267" s="532"/>
      <c r="N267" s="532"/>
      <c r="O267" s="532"/>
      <c r="P267" s="90"/>
      <c r="Q267" s="532"/>
      <c r="R267" s="219"/>
      <c r="S267" s="532"/>
      <c r="T267" s="90"/>
      <c r="U267" s="532"/>
      <c r="V267" s="532"/>
      <c r="W267" s="532"/>
      <c r="X267" s="532"/>
      <c r="Y267" s="532"/>
      <c r="Z267" s="532"/>
      <c r="AA267" s="532"/>
      <c r="AB267" s="532"/>
      <c r="AC267" s="532"/>
      <c r="AD267" s="532"/>
      <c r="AE267" s="532"/>
      <c r="AF267" s="532"/>
      <c r="AG267" s="532"/>
      <c r="AH267" s="532"/>
      <c r="AI267" s="532"/>
      <c r="AJ267" s="532"/>
    </row>
    <row r="268" spans="13:36" ht="12.95" customHeight="1" x14ac:dyDescent="0.2">
      <c r="M268" s="532"/>
      <c r="N268" s="532"/>
      <c r="O268" s="532"/>
      <c r="P268" s="90"/>
      <c r="Q268" s="532"/>
      <c r="R268" s="219"/>
      <c r="S268" s="532"/>
      <c r="T268" s="90"/>
      <c r="U268" s="532"/>
      <c r="V268" s="532"/>
      <c r="W268" s="532"/>
      <c r="X268" s="532"/>
      <c r="Y268" s="532"/>
      <c r="Z268" s="532"/>
      <c r="AA268" s="532"/>
      <c r="AB268" s="532"/>
      <c r="AC268" s="532"/>
      <c r="AD268" s="532"/>
      <c r="AE268" s="532"/>
      <c r="AF268" s="532"/>
      <c r="AG268" s="532"/>
      <c r="AH268" s="532"/>
      <c r="AI268" s="532"/>
      <c r="AJ268" s="532"/>
    </row>
    <row r="269" spans="13:36" ht="12.95" customHeight="1" x14ac:dyDescent="0.2">
      <c r="M269" s="532"/>
      <c r="N269" s="532"/>
      <c r="O269" s="532"/>
      <c r="P269" s="90"/>
      <c r="Q269" s="532"/>
      <c r="R269" s="219"/>
      <c r="S269" s="532"/>
      <c r="T269" s="90"/>
      <c r="U269" s="532"/>
      <c r="V269" s="532"/>
      <c r="W269" s="532"/>
      <c r="X269" s="532"/>
      <c r="Y269" s="532"/>
      <c r="Z269" s="532"/>
      <c r="AA269" s="532"/>
      <c r="AB269" s="532"/>
      <c r="AC269" s="532"/>
      <c r="AD269" s="532"/>
      <c r="AE269" s="532"/>
      <c r="AF269" s="532"/>
      <c r="AG269" s="532"/>
      <c r="AH269" s="532"/>
      <c r="AI269" s="532"/>
      <c r="AJ269" s="532"/>
    </row>
    <row r="270" spans="13:36" ht="12.95" customHeight="1" x14ac:dyDescent="0.2">
      <c r="M270" s="532"/>
      <c r="N270" s="532"/>
      <c r="O270" s="532"/>
      <c r="P270" s="90"/>
      <c r="Q270" s="532"/>
      <c r="R270" s="219"/>
      <c r="S270" s="532"/>
      <c r="T270" s="90"/>
      <c r="U270" s="532"/>
      <c r="V270" s="532"/>
      <c r="W270" s="532"/>
      <c r="X270" s="532"/>
      <c r="Y270" s="532"/>
      <c r="Z270" s="532"/>
      <c r="AA270" s="532"/>
      <c r="AB270" s="532"/>
      <c r="AC270" s="532"/>
      <c r="AD270" s="532"/>
      <c r="AE270" s="532"/>
      <c r="AF270" s="532"/>
      <c r="AG270" s="532"/>
      <c r="AH270" s="532"/>
      <c r="AI270" s="532"/>
      <c r="AJ270" s="532"/>
    </row>
    <row r="271" spans="13:36" ht="12.95" customHeight="1" x14ac:dyDescent="0.2">
      <c r="M271" s="532"/>
      <c r="N271" s="532"/>
      <c r="O271" s="532"/>
      <c r="P271" s="90"/>
      <c r="Q271" s="532"/>
      <c r="R271" s="219"/>
      <c r="S271" s="532"/>
      <c r="T271" s="90"/>
      <c r="U271" s="532"/>
      <c r="V271" s="532"/>
      <c r="W271" s="532"/>
      <c r="X271" s="532"/>
      <c r="Y271" s="532"/>
      <c r="Z271" s="532"/>
      <c r="AA271" s="532"/>
      <c r="AB271" s="532"/>
      <c r="AC271" s="532"/>
      <c r="AD271" s="532"/>
      <c r="AE271" s="532"/>
      <c r="AF271" s="532"/>
      <c r="AG271" s="532"/>
      <c r="AH271" s="532"/>
      <c r="AI271" s="532"/>
      <c r="AJ271" s="532"/>
    </row>
    <row r="272" spans="13:36" ht="12.95" customHeight="1" x14ac:dyDescent="0.2">
      <c r="M272" s="532"/>
      <c r="N272" s="532"/>
      <c r="O272" s="532"/>
      <c r="P272" s="90"/>
      <c r="Q272" s="532"/>
      <c r="R272" s="219"/>
      <c r="S272" s="532"/>
      <c r="T272" s="90"/>
      <c r="U272" s="532"/>
      <c r="V272" s="532"/>
      <c r="W272" s="532"/>
      <c r="X272" s="532"/>
      <c r="Y272" s="532"/>
      <c r="Z272" s="532"/>
      <c r="AA272" s="532"/>
      <c r="AB272" s="532"/>
      <c r="AC272" s="532"/>
      <c r="AD272" s="532"/>
      <c r="AE272" s="532"/>
      <c r="AF272" s="532"/>
      <c r="AG272" s="532"/>
      <c r="AH272" s="532"/>
      <c r="AI272" s="532"/>
      <c r="AJ272" s="532"/>
    </row>
    <row r="273" spans="13:36" ht="12.95" customHeight="1" x14ac:dyDescent="0.2">
      <c r="M273" s="532"/>
      <c r="N273" s="532"/>
      <c r="O273" s="532"/>
      <c r="P273" s="90"/>
      <c r="Q273" s="532"/>
      <c r="R273" s="219"/>
      <c r="S273" s="532"/>
      <c r="T273" s="90"/>
      <c r="U273" s="532"/>
      <c r="V273" s="532"/>
      <c r="W273" s="532"/>
      <c r="X273" s="532"/>
      <c r="Y273" s="532"/>
      <c r="Z273" s="532"/>
      <c r="AA273" s="532"/>
      <c r="AB273" s="532"/>
      <c r="AC273" s="532"/>
      <c r="AD273" s="532"/>
      <c r="AE273" s="532"/>
      <c r="AF273" s="532"/>
      <c r="AG273" s="532"/>
      <c r="AH273" s="532"/>
      <c r="AI273" s="532"/>
      <c r="AJ273" s="532"/>
    </row>
    <row r="274" spans="13:36" ht="12.95" customHeight="1" x14ac:dyDescent="0.2">
      <c r="M274" s="532"/>
      <c r="N274" s="532"/>
      <c r="O274" s="532"/>
      <c r="P274" s="90"/>
      <c r="Q274" s="532"/>
      <c r="R274" s="219"/>
      <c r="S274" s="532"/>
      <c r="T274" s="90"/>
      <c r="U274" s="532"/>
      <c r="V274" s="532"/>
      <c r="W274" s="532"/>
      <c r="X274" s="532"/>
      <c r="Y274" s="532"/>
      <c r="Z274" s="532"/>
      <c r="AA274" s="532"/>
      <c r="AB274" s="532"/>
      <c r="AC274" s="532"/>
      <c r="AD274" s="532"/>
      <c r="AE274" s="532"/>
      <c r="AF274" s="532"/>
      <c r="AG274" s="532"/>
      <c r="AH274" s="532"/>
      <c r="AI274" s="532"/>
      <c r="AJ274" s="532"/>
    </row>
    <row r="275" spans="13:36" ht="12.95" customHeight="1" x14ac:dyDescent="0.2">
      <c r="M275" s="532"/>
      <c r="N275" s="532"/>
      <c r="O275" s="532"/>
      <c r="P275" s="90"/>
      <c r="Q275" s="532"/>
      <c r="R275" s="219"/>
      <c r="S275" s="532"/>
      <c r="T275" s="90"/>
      <c r="U275" s="532"/>
      <c r="V275" s="532"/>
      <c r="W275" s="532"/>
      <c r="X275" s="532"/>
      <c r="Y275" s="532"/>
      <c r="Z275" s="532"/>
      <c r="AA275" s="532"/>
      <c r="AB275" s="532"/>
      <c r="AC275" s="532"/>
      <c r="AD275" s="532"/>
      <c r="AE275" s="532"/>
      <c r="AF275" s="532"/>
      <c r="AG275" s="532"/>
      <c r="AH275" s="532"/>
      <c r="AI275" s="532"/>
      <c r="AJ275" s="532"/>
    </row>
    <row r="276" spans="13:36" ht="12.95" customHeight="1" x14ac:dyDescent="0.2">
      <c r="M276" s="532"/>
      <c r="N276" s="532"/>
      <c r="O276" s="532"/>
      <c r="P276" s="90"/>
      <c r="Q276" s="532"/>
      <c r="R276" s="219"/>
      <c r="S276" s="532"/>
      <c r="T276" s="90"/>
      <c r="U276" s="532"/>
      <c r="V276" s="532"/>
      <c r="W276" s="532"/>
      <c r="X276" s="532"/>
      <c r="Y276" s="532"/>
      <c r="Z276" s="532"/>
      <c r="AA276" s="532"/>
      <c r="AB276" s="532"/>
      <c r="AC276" s="532"/>
      <c r="AD276" s="532"/>
      <c r="AE276" s="532"/>
      <c r="AF276" s="532"/>
      <c r="AG276" s="532"/>
      <c r="AH276" s="532"/>
      <c r="AI276" s="532"/>
      <c r="AJ276" s="532"/>
    </row>
    <row r="277" spans="13:36" ht="12.95" customHeight="1" x14ac:dyDescent="0.2">
      <c r="M277" s="532"/>
      <c r="N277" s="532"/>
      <c r="O277" s="532"/>
      <c r="P277" s="90"/>
      <c r="Q277" s="532"/>
      <c r="R277" s="219"/>
      <c r="S277" s="532"/>
      <c r="T277" s="90"/>
      <c r="U277" s="532"/>
      <c r="V277" s="532"/>
      <c r="W277" s="532"/>
      <c r="X277" s="532"/>
      <c r="Y277" s="532"/>
      <c r="Z277" s="532"/>
      <c r="AA277" s="532"/>
      <c r="AB277" s="532"/>
      <c r="AC277" s="532"/>
      <c r="AD277" s="532"/>
      <c r="AE277" s="532"/>
      <c r="AF277" s="532"/>
      <c r="AG277" s="532"/>
      <c r="AH277" s="532"/>
      <c r="AI277" s="532"/>
      <c r="AJ277" s="532"/>
    </row>
    <row r="278" spans="13:36" ht="12.95" customHeight="1" x14ac:dyDescent="0.2">
      <c r="M278" s="532"/>
      <c r="N278" s="532"/>
      <c r="O278" s="532"/>
      <c r="P278" s="90"/>
      <c r="Q278" s="532"/>
      <c r="R278" s="219"/>
      <c r="S278" s="532"/>
      <c r="T278" s="90"/>
      <c r="U278" s="532"/>
      <c r="V278" s="532"/>
      <c r="W278" s="532"/>
      <c r="X278" s="532"/>
      <c r="Y278" s="532"/>
      <c r="Z278" s="532"/>
      <c r="AA278" s="532"/>
      <c r="AB278" s="532"/>
      <c r="AC278" s="532"/>
      <c r="AD278" s="532"/>
      <c r="AE278" s="532"/>
      <c r="AF278" s="532"/>
      <c r="AG278" s="532"/>
      <c r="AH278" s="532"/>
      <c r="AI278" s="532"/>
      <c r="AJ278" s="532"/>
    </row>
    <row r="279" spans="13:36" ht="12.95" customHeight="1" x14ac:dyDescent="0.2">
      <c r="M279" s="532"/>
      <c r="N279" s="532"/>
      <c r="O279" s="532"/>
      <c r="P279" s="90"/>
      <c r="Q279" s="532"/>
      <c r="R279" s="219"/>
      <c r="S279" s="532"/>
      <c r="T279" s="90"/>
      <c r="U279" s="532"/>
      <c r="V279" s="532"/>
      <c r="W279" s="532"/>
      <c r="X279" s="532"/>
      <c r="Y279" s="532"/>
      <c r="Z279" s="532"/>
      <c r="AA279" s="532"/>
      <c r="AB279" s="532"/>
      <c r="AC279" s="532"/>
      <c r="AD279" s="532"/>
      <c r="AE279" s="532"/>
      <c r="AF279" s="532"/>
      <c r="AG279" s="532"/>
      <c r="AH279" s="532"/>
      <c r="AI279" s="532"/>
      <c r="AJ279" s="532"/>
    </row>
    <row r="280" spans="13:36" ht="12.95" customHeight="1" x14ac:dyDescent="0.2">
      <c r="M280" s="532"/>
      <c r="N280" s="532"/>
      <c r="O280" s="532"/>
      <c r="P280" s="90"/>
      <c r="Q280" s="532"/>
      <c r="R280" s="219"/>
      <c r="S280" s="532"/>
      <c r="T280" s="90"/>
      <c r="U280" s="532"/>
      <c r="V280" s="532"/>
      <c r="W280" s="532"/>
      <c r="X280" s="532"/>
      <c r="Y280" s="532"/>
      <c r="Z280" s="532"/>
      <c r="AA280" s="532"/>
      <c r="AB280" s="532"/>
      <c r="AC280" s="532"/>
      <c r="AD280" s="532"/>
      <c r="AE280" s="532"/>
      <c r="AF280" s="532"/>
      <c r="AG280" s="532"/>
      <c r="AH280" s="532"/>
      <c r="AI280" s="532"/>
      <c r="AJ280" s="532"/>
    </row>
    <row r="281" spans="13:36" ht="12.95" customHeight="1" x14ac:dyDescent="0.2">
      <c r="M281" s="532"/>
      <c r="N281" s="532"/>
      <c r="O281" s="532"/>
      <c r="P281" s="90"/>
      <c r="Q281" s="532"/>
      <c r="R281" s="219"/>
      <c r="S281" s="532"/>
      <c r="T281" s="90"/>
      <c r="U281" s="532"/>
      <c r="V281" s="532"/>
      <c r="W281" s="532"/>
      <c r="X281" s="532"/>
      <c r="Y281" s="532"/>
      <c r="Z281" s="532"/>
      <c r="AA281" s="532"/>
      <c r="AB281" s="532"/>
      <c r="AC281" s="532"/>
      <c r="AD281" s="532"/>
      <c r="AE281" s="532"/>
      <c r="AF281" s="532"/>
      <c r="AG281" s="532"/>
      <c r="AH281" s="532"/>
      <c r="AI281" s="532"/>
      <c r="AJ281" s="532"/>
    </row>
    <row r="282" spans="13:36" ht="12.95" customHeight="1" x14ac:dyDescent="0.2">
      <c r="M282" s="532"/>
      <c r="N282" s="532"/>
      <c r="O282" s="532"/>
      <c r="P282" s="90"/>
      <c r="Q282" s="532"/>
      <c r="R282" s="219"/>
      <c r="S282" s="532"/>
      <c r="T282" s="90"/>
      <c r="U282" s="532"/>
      <c r="V282" s="532"/>
      <c r="W282" s="532"/>
      <c r="X282" s="532"/>
      <c r="Y282" s="532"/>
      <c r="Z282" s="532"/>
      <c r="AA282" s="532"/>
      <c r="AB282" s="532"/>
      <c r="AC282" s="532"/>
      <c r="AD282" s="532"/>
      <c r="AE282" s="532"/>
      <c r="AF282" s="532"/>
      <c r="AG282" s="532"/>
      <c r="AH282" s="532"/>
      <c r="AI282" s="532"/>
      <c r="AJ282" s="532"/>
    </row>
    <row r="283" spans="13:36" ht="12.95" customHeight="1" x14ac:dyDescent="0.2">
      <c r="M283" s="532"/>
      <c r="N283" s="532"/>
      <c r="O283" s="532"/>
      <c r="P283" s="90"/>
      <c r="Q283" s="532"/>
      <c r="R283" s="219"/>
      <c r="S283" s="532"/>
      <c r="T283" s="90"/>
      <c r="U283" s="532"/>
      <c r="V283" s="532"/>
      <c r="W283" s="532"/>
      <c r="X283" s="532"/>
      <c r="Y283" s="532"/>
      <c r="Z283" s="532"/>
      <c r="AA283" s="532"/>
      <c r="AB283" s="532"/>
      <c r="AC283" s="532"/>
      <c r="AD283" s="532"/>
      <c r="AE283" s="532"/>
      <c r="AF283" s="532"/>
      <c r="AG283" s="532"/>
      <c r="AH283" s="532"/>
      <c r="AI283" s="532"/>
      <c r="AJ283" s="532"/>
    </row>
    <row r="284" spans="13:36" ht="12.95" customHeight="1" x14ac:dyDescent="0.2">
      <c r="M284" s="532"/>
      <c r="N284" s="532"/>
      <c r="O284" s="532"/>
      <c r="P284" s="90"/>
      <c r="Q284" s="532"/>
      <c r="R284" s="219"/>
      <c r="S284" s="532"/>
      <c r="T284" s="90"/>
      <c r="U284" s="532"/>
      <c r="V284" s="532"/>
      <c r="W284" s="532"/>
      <c r="X284" s="532"/>
      <c r="Y284" s="532"/>
      <c r="Z284" s="532"/>
      <c r="AA284" s="532"/>
      <c r="AB284" s="532"/>
      <c r="AC284" s="532"/>
      <c r="AD284" s="532"/>
      <c r="AE284" s="532"/>
      <c r="AF284" s="532"/>
      <c r="AG284" s="532"/>
      <c r="AH284" s="532"/>
      <c r="AI284" s="532"/>
      <c r="AJ284" s="532"/>
    </row>
    <row r="285" spans="13:36" ht="12.95" customHeight="1" x14ac:dyDescent="0.2">
      <c r="M285" s="532"/>
      <c r="N285" s="532"/>
      <c r="O285" s="532"/>
      <c r="P285" s="90"/>
      <c r="Q285" s="532"/>
      <c r="R285" s="219"/>
      <c r="S285" s="532"/>
      <c r="T285" s="90"/>
      <c r="U285" s="532"/>
      <c r="V285" s="532"/>
      <c r="W285" s="532"/>
      <c r="X285" s="532"/>
      <c r="Y285" s="532"/>
      <c r="Z285" s="532"/>
      <c r="AA285" s="532"/>
      <c r="AB285" s="532"/>
      <c r="AC285" s="532"/>
      <c r="AD285" s="532"/>
      <c r="AE285" s="532"/>
      <c r="AF285" s="532"/>
      <c r="AG285" s="532"/>
      <c r="AH285" s="532"/>
      <c r="AI285" s="532"/>
      <c r="AJ285" s="532"/>
    </row>
    <row r="286" spans="13:36" ht="12.95" customHeight="1" x14ac:dyDescent="0.2">
      <c r="M286" s="532"/>
      <c r="N286" s="532"/>
      <c r="O286" s="532"/>
      <c r="P286" s="90"/>
      <c r="Q286" s="532"/>
      <c r="R286" s="219"/>
      <c r="S286" s="532"/>
      <c r="T286" s="90"/>
      <c r="U286" s="532"/>
      <c r="V286" s="532"/>
      <c r="W286" s="532"/>
      <c r="X286" s="532"/>
      <c r="Y286" s="532"/>
      <c r="Z286" s="532"/>
      <c r="AA286" s="532"/>
      <c r="AB286" s="532"/>
      <c r="AC286" s="532"/>
      <c r="AD286" s="532"/>
      <c r="AE286" s="532"/>
      <c r="AF286" s="532"/>
      <c r="AG286" s="532"/>
      <c r="AH286" s="532"/>
      <c r="AI286" s="532"/>
      <c r="AJ286" s="532"/>
    </row>
    <row r="287" spans="13:36" ht="12.95" customHeight="1" x14ac:dyDescent="0.2">
      <c r="M287" s="532"/>
      <c r="N287" s="532"/>
      <c r="O287" s="532"/>
      <c r="P287" s="90"/>
      <c r="Q287" s="532"/>
      <c r="R287" s="219"/>
      <c r="S287" s="532"/>
      <c r="T287" s="90"/>
      <c r="U287" s="532"/>
      <c r="V287" s="532"/>
      <c r="W287" s="532"/>
      <c r="X287" s="532"/>
      <c r="Y287" s="532"/>
      <c r="Z287" s="532"/>
      <c r="AA287" s="532"/>
      <c r="AB287" s="532"/>
      <c r="AC287" s="532"/>
      <c r="AD287" s="532"/>
      <c r="AE287" s="532"/>
      <c r="AF287" s="532"/>
      <c r="AG287" s="532"/>
      <c r="AH287" s="532"/>
      <c r="AI287" s="532"/>
      <c r="AJ287" s="532"/>
    </row>
    <row r="288" spans="13:36" ht="12.95" customHeight="1" x14ac:dyDescent="0.2">
      <c r="M288" s="532"/>
      <c r="N288" s="532"/>
      <c r="O288" s="532"/>
      <c r="P288" s="90"/>
      <c r="Q288" s="532"/>
      <c r="R288" s="219"/>
      <c r="S288" s="532"/>
      <c r="T288" s="90"/>
      <c r="U288" s="532"/>
      <c r="V288" s="532"/>
      <c r="W288" s="532"/>
      <c r="X288" s="532"/>
      <c r="Y288" s="532"/>
      <c r="Z288" s="532"/>
      <c r="AA288" s="532"/>
      <c r="AB288" s="532"/>
      <c r="AC288" s="532"/>
      <c r="AD288" s="532"/>
      <c r="AE288" s="532"/>
      <c r="AF288" s="532"/>
      <c r="AG288" s="532"/>
      <c r="AH288" s="532"/>
      <c r="AI288" s="532"/>
      <c r="AJ288" s="532"/>
    </row>
    <row r="289" spans="13:36" ht="12.95" customHeight="1" x14ac:dyDescent="0.2">
      <c r="M289" s="532"/>
      <c r="N289" s="532"/>
      <c r="O289" s="532"/>
      <c r="P289" s="90"/>
      <c r="Q289" s="532"/>
      <c r="R289" s="219"/>
      <c r="S289" s="532"/>
      <c r="T289" s="90"/>
      <c r="U289" s="532"/>
      <c r="V289" s="532"/>
      <c r="W289" s="532"/>
      <c r="X289" s="532"/>
      <c r="Y289" s="532"/>
      <c r="Z289" s="532"/>
      <c r="AA289" s="532"/>
      <c r="AB289" s="532"/>
      <c r="AC289" s="532"/>
      <c r="AD289" s="532"/>
      <c r="AE289" s="532"/>
      <c r="AF289" s="532"/>
      <c r="AG289" s="532"/>
      <c r="AH289" s="532"/>
      <c r="AI289" s="532"/>
      <c r="AJ289" s="532"/>
    </row>
    <row r="290" spans="13:36" ht="12.95" customHeight="1" x14ac:dyDescent="0.2">
      <c r="M290" s="532"/>
      <c r="N290" s="532"/>
      <c r="O290" s="532"/>
      <c r="P290" s="90"/>
      <c r="Q290" s="532"/>
      <c r="R290" s="219"/>
      <c r="S290" s="532"/>
      <c r="T290" s="90"/>
      <c r="U290" s="532"/>
      <c r="V290" s="532"/>
      <c r="W290" s="532"/>
      <c r="X290" s="532"/>
      <c r="Y290" s="532"/>
      <c r="Z290" s="532"/>
      <c r="AA290" s="532"/>
      <c r="AB290" s="532"/>
      <c r="AC290" s="532"/>
      <c r="AD290" s="532"/>
      <c r="AE290" s="532"/>
      <c r="AF290" s="532"/>
      <c r="AG290" s="532"/>
      <c r="AH290" s="532"/>
      <c r="AI290" s="532"/>
      <c r="AJ290" s="532"/>
    </row>
    <row r="291" spans="13:36" ht="12.95" customHeight="1" x14ac:dyDescent="0.2">
      <c r="M291" s="532"/>
      <c r="N291" s="532"/>
      <c r="O291" s="532"/>
      <c r="P291" s="90"/>
      <c r="Q291" s="532"/>
      <c r="R291" s="219"/>
      <c r="S291" s="532"/>
      <c r="T291" s="90"/>
      <c r="U291" s="532"/>
      <c r="V291" s="532"/>
      <c r="W291" s="532"/>
      <c r="X291" s="532"/>
      <c r="Y291" s="532"/>
      <c r="Z291" s="532"/>
      <c r="AA291" s="532"/>
      <c r="AB291" s="532"/>
      <c r="AC291" s="532"/>
      <c r="AD291" s="532"/>
      <c r="AE291" s="532"/>
      <c r="AF291" s="532"/>
      <c r="AG291" s="532"/>
      <c r="AH291" s="532"/>
      <c r="AI291" s="532"/>
      <c r="AJ291" s="532"/>
    </row>
    <row r="292" spans="13:36" ht="12.95" customHeight="1" x14ac:dyDescent="0.2">
      <c r="M292" s="532"/>
      <c r="N292" s="532"/>
      <c r="O292" s="532"/>
      <c r="P292" s="90"/>
      <c r="Q292" s="532"/>
      <c r="R292" s="219"/>
      <c r="S292" s="532"/>
      <c r="T292" s="90"/>
      <c r="U292" s="532"/>
      <c r="V292" s="532"/>
      <c r="W292" s="532"/>
      <c r="X292" s="532"/>
      <c r="Y292" s="532"/>
      <c r="Z292" s="532"/>
      <c r="AA292" s="532"/>
      <c r="AB292" s="532"/>
      <c r="AC292" s="532"/>
      <c r="AD292" s="532"/>
      <c r="AE292" s="532"/>
      <c r="AF292" s="532"/>
      <c r="AG292" s="532"/>
      <c r="AH292" s="532"/>
      <c r="AI292" s="532"/>
      <c r="AJ292" s="532"/>
    </row>
    <row r="293" spans="13:36" ht="12.95" customHeight="1" x14ac:dyDescent="0.2">
      <c r="M293" s="532"/>
      <c r="N293" s="532"/>
      <c r="O293" s="532"/>
      <c r="P293" s="90"/>
      <c r="Q293" s="532"/>
      <c r="R293" s="219"/>
      <c r="S293" s="532"/>
      <c r="T293" s="90"/>
      <c r="U293" s="532"/>
      <c r="V293" s="532"/>
      <c r="W293" s="532"/>
      <c r="X293" s="532"/>
      <c r="Y293" s="532"/>
      <c r="Z293" s="532"/>
      <c r="AA293" s="532"/>
      <c r="AB293" s="532"/>
      <c r="AC293" s="532"/>
      <c r="AD293" s="532"/>
      <c r="AE293" s="532"/>
      <c r="AF293" s="532"/>
      <c r="AG293" s="532"/>
      <c r="AH293" s="532"/>
      <c r="AI293" s="532"/>
      <c r="AJ293" s="532"/>
    </row>
    <row r="294" spans="13:36" ht="12.95" customHeight="1" x14ac:dyDescent="0.2">
      <c r="M294" s="532"/>
      <c r="N294" s="532"/>
      <c r="O294" s="532"/>
      <c r="P294" s="90"/>
      <c r="Q294" s="532"/>
      <c r="R294" s="219"/>
      <c r="S294" s="532"/>
      <c r="T294" s="90"/>
      <c r="U294" s="532"/>
      <c r="V294" s="532"/>
      <c r="W294" s="532"/>
      <c r="X294" s="532"/>
      <c r="Y294" s="532"/>
      <c r="Z294" s="532"/>
      <c r="AA294" s="532"/>
      <c r="AB294" s="532"/>
      <c r="AC294" s="532"/>
      <c r="AD294" s="532"/>
      <c r="AE294" s="532"/>
      <c r="AF294" s="532"/>
      <c r="AG294" s="532"/>
      <c r="AH294" s="532"/>
      <c r="AI294" s="532"/>
      <c r="AJ294" s="532"/>
    </row>
    <row r="295" spans="13:36" ht="12.95" customHeight="1" x14ac:dyDescent="0.2">
      <c r="M295" s="532"/>
      <c r="N295" s="532"/>
      <c r="O295" s="532"/>
      <c r="P295" s="90"/>
      <c r="Q295" s="532"/>
      <c r="R295" s="219"/>
      <c r="S295" s="532"/>
      <c r="T295" s="90"/>
      <c r="U295" s="532"/>
      <c r="V295" s="532"/>
      <c r="W295" s="532"/>
      <c r="X295" s="532"/>
      <c r="Y295" s="532"/>
      <c r="Z295" s="532"/>
      <c r="AA295" s="532"/>
      <c r="AB295" s="532"/>
      <c r="AC295" s="532"/>
      <c r="AD295" s="532"/>
      <c r="AE295" s="532"/>
      <c r="AF295" s="532"/>
      <c r="AG295" s="532"/>
      <c r="AH295" s="532"/>
      <c r="AI295" s="532"/>
      <c r="AJ295" s="532"/>
    </row>
    <row r="296" spans="13:36" ht="12.95" customHeight="1" x14ac:dyDescent="0.2">
      <c r="M296" s="532"/>
      <c r="N296" s="532"/>
      <c r="O296" s="532"/>
      <c r="P296" s="90"/>
      <c r="Q296" s="532"/>
      <c r="R296" s="219"/>
      <c r="S296" s="532"/>
      <c r="T296" s="90"/>
      <c r="U296" s="532"/>
      <c r="V296" s="532"/>
      <c r="W296" s="532"/>
      <c r="X296" s="532"/>
      <c r="Y296" s="532"/>
      <c r="Z296" s="532"/>
      <c r="AA296" s="532"/>
      <c r="AB296" s="532"/>
      <c r="AC296" s="532"/>
      <c r="AD296" s="532"/>
      <c r="AE296" s="532"/>
      <c r="AF296" s="532"/>
      <c r="AG296" s="532"/>
      <c r="AH296" s="532"/>
      <c r="AI296" s="532"/>
      <c r="AJ296" s="532"/>
    </row>
    <row r="297" spans="13:36" ht="12.95" customHeight="1" x14ac:dyDescent="0.2">
      <c r="M297" s="532"/>
      <c r="N297" s="532"/>
      <c r="O297" s="532"/>
      <c r="P297" s="90"/>
      <c r="Q297" s="532"/>
      <c r="R297" s="219"/>
      <c r="S297" s="532"/>
      <c r="T297" s="90"/>
      <c r="U297" s="532"/>
      <c r="V297" s="532"/>
      <c r="W297" s="532"/>
      <c r="X297" s="532"/>
      <c r="Y297" s="532"/>
      <c r="Z297" s="532"/>
      <c r="AA297" s="532"/>
      <c r="AB297" s="532"/>
      <c r="AC297" s="532"/>
      <c r="AD297" s="532"/>
      <c r="AE297" s="532"/>
      <c r="AF297" s="532"/>
      <c r="AG297" s="532"/>
      <c r="AH297" s="532"/>
      <c r="AI297" s="532"/>
      <c r="AJ297" s="532"/>
    </row>
    <row r="298" spans="13:36" ht="12.95" customHeight="1" x14ac:dyDescent="0.2">
      <c r="M298" s="532"/>
      <c r="N298" s="532"/>
      <c r="O298" s="532"/>
      <c r="P298" s="90"/>
      <c r="Q298" s="532"/>
      <c r="R298" s="219"/>
      <c r="S298" s="532"/>
      <c r="T298" s="90"/>
      <c r="U298" s="532"/>
      <c r="V298" s="532"/>
      <c r="W298" s="532"/>
      <c r="X298" s="532"/>
      <c r="Y298" s="532"/>
      <c r="Z298" s="532"/>
      <c r="AA298" s="532"/>
      <c r="AB298" s="532"/>
      <c r="AC298" s="532"/>
      <c r="AD298" s="532"/>
      <c r="AE298" s="532"/>
      <c r="AF298" s="532"/>
      <c r="AG298" s="532"/>
      <c r="AH298" s="532"/>
      <c r="AI298" s="532"/>
      <c r="AJ298" s="532"/>
    </row>
    <row r="299" spans="13:36" ht="12.95" customHeight="1" x14ac:dyDescent="0.2">
      <c r="M299" s="532"/>
      <c r="N299" s="532"/>
      <c r="O299" s="532"/>
      <c r="P299" s="90"/>
      <c r="Q299" s="532"/>
      <c r="R299" s="219"/>
      <c r="S299" s="532"/>
      <c r="T299" s="90"/>
      <c r="U299" s="532"/>
      <c r="V299" s="532"/>
      <c r="W299" s="532"/>
      <c r="X299" s="532"/>
      <c r="Y299" s="532"/>
      <c r="Z299" s="532"/>
      <c r="AA299" s="532"/>
      <c r="AB299" s="532"/>
      <c r="AC299" s="532"/>
      <c r="AD299" s="532"/>
      <c r="AE299" s="532"/>
      <c r="AF299" s="532"/>
      <c r="AG299" s="532"/>
      <c r="AH299" s="532"/>
      <c r="AI299" s="532"/>
      <c r="AJ299" s="532"/>
    </row>
    <row r="300" spans="13:36" ht="12.95" customHeight="1" x14ac:dyDescent="0.2">
      <c r="M300" s="532"/>
      <c r="N300" s="532"/>
      <c r="O300" s="532"/>
      <c r="P300" s="90"/>
      <c r="Q300" s="532"/>
      <c r="R300" s="219"/>
      <c r="S300" s="532"/>
      <c r="T300" s="90"/>
      <c r="U300" s="532"/>
      <c r="V300" s="532"/>
      <c r="W300" s="532"/>
      <c r="X300" s="532"/>
      <c r="Y300" s="532"/>
      <c r="Z300" s="532"/>
      <c r="AA300" s="532"/>
      <c r="AB300" s="532"/>
      <c r="AC300" s="532"/>
      <c r="AD300" s="532"/>
      <c r="AE300" s="532"/>
      <c r="AF300" s="532"/>
      <c r="AG300" s="532"/>
      <c r="AH300" s="532"/>
      <c r="AI300" s="532"/>
      <c r="AJ300" s="532"/>
    </row>
    <row r="301" spans="13:36" ht="12.95" customHeight="1" x14ac:dyDescent="0.2">
      <c r="M301" s="532"/>
      <c r="N301" s="532"/>
      <c r="O301" s="532"/>
      <c r="P301" s="90"/>
      <c r="Q301" s="532"/>
      <c r="R301" s="219"/>
      <c r="S301" s="532"/>
      <c r="T301" s="90"/>
      <c r="U301" s="532"/>
      <c r="V301" s="532"/>
      <c r="W301" s="532"/>
      <c r="X301" s="532"/>
      <c r="Y301" s="532"/>
      <c r="Z301" s="532"/>
      <c r="AA301" s="532"/>
      <c r="AB301" s="532"/>
      <c r="AC301" s="532"/>
      <c r="AD301" s="532"/>
      <c r="AE301" s="532"/>
      <c r="AF301" s="532"/>
      <c r="AG301" s="532"/>
      <c r="AH301" s="532"/>
      <c r="AI301" s="532"/>
      <c r="AJ301" s="532"/>
    </row>
    <row r="302" spans="13:36" ht="12.95" customHeight="1" x14ac:dyDescent="0.2">
      <c r="M302" s="532"/>
      <c r="N302" s="532"/>
      <c r="O302" s="532"/>
      <c r="P302" s="90"/>
      <c r="Q302" s="532"/>
      <c r="R302" s="219"/>
      <c r="S302" s="532"/>
      <c r="T302" s="90"/>
      <c r="U302" s="532"/>
      <c r="V302" s="532"/>
      <c r="W302" s="532"/>
      <c r="X302" s="532"/>
      <c r="Y302" s="532"/>
      <c r="Z302" s="532"/>
      <c r="AA302" s="532"/>
      <c r="AB302" s="532"/>
      <c r="AC302" s="532"/>
      <c r="AD302" s="532"/>
      <c r="AE302" s="532"/>
      <c r="AF302" s="532"/>
      <c r="AG302" s="532"/>
      <c r="AH302" s="532"/>
      <c r="AI302" s="532"/>
      <c r="AJ302" s="532"/>
    </row>
    <row r="303" spans="13:36" ht="12.95" customHeight="1" x14ac:dyDescent="0.2">
      <c r="M303" s="532"/>
      <c r="N303" s="532"/>
      <c r="O303" s="532"/>
      <c r="P303" s="90"/>
      <c r="Q303" s="532"/>
      <c r="R303" s="219"/>
      <c r="S303" s="532"/>
      <c r="T303" s="90"/>
      <c r="U303" s="532"/>
      <c r="V303" s="532"/>
      <c r="W303" s="532"/>
      <c r="X303" s="532"/>
      <c r="Y303" s="532"/>
      <c r="Z303" s="532"/>
      <c r="AA303" s="532"/>
      <c r="AB303" s="532"/>
      <c r="AC303" s="532"/>
      <c r="AD303" s="532"/>
      <c r="AE303" s="532"/>
      <c r="AF303" s="532"/>
      <c r="AG303" s="532"/>
      <c r="AH303" s="532"/>
      <c r="AI303" s="532"/>
      <c r="AJ303" s="532"/>
    </row>
    <row r="304" spans="13:36" ht="12.95" customHeight="1" x14ac:dyDescent="0.2">
      <c r="M304" s="532"/>
      <c r="N304" s="532"/>
      <c r="O304" s="532"/>
      <c r="P304" s="90"/>
      <c r="Q304" s="532"/>
      <c r="R304" s="219"/>
      <c r="S304" s="532"/>
      <c r="T304" s="90"/>
      <c r="U304" s="532"/>
      <c r="V304" s="532"/>
      <c r="W304" s="532"/>
      <c r="X304" s="532"/>
      <c r="Y304" s="532"/>
      <c r="Z304" s="532"/>
      <c r="AA304" s="532"/>
      <c r="AB304" s="532"/>
      <c r="AC304" s="532"/>
      <c r="AD304" s="532"/>
      <c r="AE304" s="532"/>
      <c r="AF304" s="532"/>
      <c r="AG304" s="532"/>
      <c r="AH304" s="532"/>
      <c r="AI304" s="532"/>
      <c r="AJ304" s="532"/>
    </row>
    <row r="305" spans="13:36" ht="12.95" customHeight="1" x14ac:dyDescent="0.2">
      <c r="M305" s="532"/>
      <c r="N305" s="532"/>
      <c r="O305" s="532"/>
      <c r="P305" s="90"/>
      <c r="Q305" s="532"/>
      <c r="R305" s="219"/>
      <c r="S305" s="532"/>
      <c r="T305" s="90"/>
      <c r="U305" s="532"/>
      <c r="V305" s="532"/>
      <c r="W305" s="532"/>
      <c r="X305" s="532"/>
      <c r="Y305" s="532"/>
      <c r="Z305" s="532"/>
      <c r="AA305" s="532"/>
      <c r="AB305" s="532"/>
      <c r="AC305" s="532"/>
      <c r="AD305" s="532"/>
      <c r="AE305" s="532"/>
      <c r="AF305" s="532"/>
      <c r="AG305" s="532"/>
      <c r="AH305" s="532"/>
      <c r="AI305" s="532"/>
      <c r="AJ305" s="532"/>
    </row>
    <row r="306" spans="13:36" ht="12.95" customHeight="1" x14ac:dyDescent="0.2">
      <c r="M306" s="532"/>
      <c r="N306" s="532"/>
      <c r="O306" s="532"/>
      <c r="P306" s="90"/>
      <c r="Q306" s="532"/>
      <c r="R306" s="219"/>
      <c r="S306" s="532"/>
      <c r="T306" s="90"/>
      <c r="U306" s="532"/>
      <c r="V306" s="532"/>
      <c r="W306" s="532"/>
      <c r="X306" s="532"/>
      <c r="Y306" s="532"/>
      <c r="Z306" s="532"/>
      <c r="AA306" s="532"/>
      <c r="AB306" s="532"/>
      <c r="AC306" s="532"/>
      <c r="AD306" s="532"/>
      <c r="AE306" s="532"/>
      <c r="AF306" s="532"/>
      <c r="AG306" s="532"/>
      <c r="AH306" s="532"/>
      <c r="AI306" s="532"/>
      <c r="AJ306" s="532"/>
    </row>
    <row r="307" spans="13:36" ht="12.95" customHeight="1" x14ac:dyDescent="0.2">
      <c r="M307" s="532"/>
      <c r="N307" s="532"/>
      <c r="O307" s="532"/>
      <c r="P307" s="90"/>
      <c r="Q307" s="532"/>
      <c r="R307" s="219"/>
      <c r="S307" s="532"/>
      <c r="T307" s="90"/>
      <c r="U307" s="532"/>
      <c r="V307" s="532"/>
      <c r="W307" s="532"/>
      <c r="X307" s="532"/>
      <c r="Y307" s="532"/>
      <c r="Z307" s="532"/>
      <c r="AA307" s="532"/>
      <c r="AB307" s="532"/>
      <c r="AC307" s="532"/>
      <c r="AD307" s="532"/>
      <c r="AE307" s="532"/>
      <c r="AF307" s="532"/>
      <c r="AG307" s="532"/>
      <c r="AH307" s="532"/>
      <c r="AI307" s="532"/>
      <c r="AJ307" s="532"/>
    </row>
    <row r="308" spans="13:36" ht="12.95" customHeight="1" x14ac:dyDescent="0.2">
      <c r="M308" s="532"/>
      <c r="N308" s="532"/>
      <c r="O308" s="532"/>
      <c r="P308" s="90"/>
      <c r="Q308" s="532"/>
      <c r="R308" s="219"/>
      <c r="S308" s="532"/>
      <c r="T308" s="90"/>
      <c r="U308" s="532"/>
      <c r="V308" s="532"/>
      <c r="W308" s="532"/>
      <c r="X308" s="532"/>
      <c r="Y308" s="532"/>
      <c r="Z308" s="532"/>
      <c r="AA308" s="532"/>
      <c r="AB308" s="532"/>
      <c r="AC308" s="532"/>
      <c r="AD308" s="532"/>
      <c r="AE308" s="532"/>
      <c r="AF308" s="532"/>
      <c r="AG308" s="532"/>
      <c r="AH308" s="532"/>
      <c r="AI308" s="532"/>
      <c r="AJ308" s="532"/>
    </row>
    <row r="309" spans="13:36" ht="12.95" customHeight="1" x14ac:dyDescent="0.2">
      <c r="M309" s="532"/>
      <c r="N309" s="532"/>
      <c r="O309" s="532"/>
      <c r="P309" s="90"/>
      <c r="Q309" s="532"/>
      <c r="R309" s="219"/>
      <c r="S309" s="532"/>
      <c r="T309" s="90"/>
      <c r="U309" s="532"/>
      <c r="V309" s="532"/>
      <c r="W309" s="532"/>
      <c r="X309" s="532"/>
      <c r="Y309" s="532"/>
      <c r="Z309" s="532"/>
      <c r="AA309" s="532"/>
      <c r="AB309" s="532"/>
      <c r="AC309" s="532"/>
      <c r="AD309" s="532"/>
      <c r="AE309" s="532"/>
      <c r="AF309" s="532"/>
      <c r="AG309" s="532"/>
      <c r="AH309" s="532"/>
      <c r="AI309" s="532"/>
      <c r="AJ309" s="532"/>
    </row>
    <row r="310" spans="13:36" ht="12.95" customHeight="1" x14ac:dyDescent="0.2">
      <c r="M310" s="532"/>
      <c r="N310" s="532"/>
      <c r="O310" s="532"/>
      <c r="P310" s="90"/>
      <c r="Q310" s="532"/>
      <c r="R310" s="219"/>
      <c r="S310" s="532"/>
      <c r="T310" s="90"/>
      <c r="U310" s="532"/>
      <c r="V310" s="532"/>
      <c r="W310" s="532"/>
      <c r="X310" s="532"/>
      <c r="Y310" s="532"/>
      <c r="Z310" s="532"/>
      <c r="AA310" s="532"/>
      <c r="AB310" s="532"/>
      <c r="AC310" s="532"/>
      <c r="AD310" s="532"/>
      <c r="AE310" s="532"/>
      <c r="AF310" s="532"/>
      <c r="AG310" s="532"/>
      <c r="AH310" s="532"/>
      <c r="AI310" s="532"/>
      <c r="AJ310" s="532"/>
    </row>
    <row r="311" spans="13:36" ht="12.95" customHeight="1" x14ac:dyDescent="0.2">
      <c r="M311" s="532"/>
      <c r="N311" s="532"/>
      <c r="O311" s="532"/>
      <c r="P311" s="90"/>
      <c r="Q311" s="532"/>
      <c r="R311" s="219"/>
      <c r="S311" s="532"/>
      <c r="T311" s="90"/>
      <c r="U311" s="532"/>
      <c r="V311" s="532"/>
      <c r="W311" s="532"/>
      <c r="X311" s="532"/>
      <c r="Y311" s="532"/>
      <c r="Z311" s="532"/>
      <c r="AA311" s="532"/>
      <c r="AB311" s="532"/>
      <c r="AC311" s="532"/>
      <c r="AD311" s="532"/>
      <c r="AE311" s="532"/>
      <c r="AF311" s="532"/>
      <c r="AG311" s="532"/>
      <c r="AH311" s="532"/>
      <c r="AI311" s="532"/>
      <c r="AJ311" s="532"/>
    </row>
    <row r="312" spans="13:36" ht="12.95" customHeight="1" x14ac:dyDescent="0.2">
      <c r="M312" s="532"/>
      <c r="N312" s="532"/>
      <c r="O312" s="532"/>
      <c r="P312" s="90"/>
      <c r="Q312" s="532"/>
      <c r="R312" s="219"/>
      <c r="S312" s="532"/>
      <c r="T312" s="90"/>
      <c r="U312" s="532"/>
      <c r="V312" s="532"/>
      <c r="W312" s="532"/>
      <c r="X312" s="532"/>
      <c r="Y312" s="532"/>
      <c r="Z312" s="532"/>
      <c r="AA312" s="532"/>
      <c r="AB312" s="532"/>
      <c r="AC312" s="532"/>
      <c r="AD312" s="532"/>
      <c r="AE312" s="532"/>
      <c r="AF312" s="532"/>
      <c r="AG312" s="532"/>
      <c r="AH312" s="532"/>
      <c r="AI312" s="532"/>
      <c r="AJ312" s="532"/>
    </row>
    <row r="313" spans="13:36" ht="12.95" customHeight="1" x14ac:dyDescent="0.2">
      <c r="M313" s="532"/>
      <c r="N313" s="532"/>
      <c r="O313" s="532"/>
      <c r="P313" s="90"/>
      <c r="Q313" s="532"/>
      <c r="R313" s="219"/>
      <c r="S313" s="532"/>
      <c r="T313" s="90"/>
      <c r="U313" s="532"/>
      <c r="V313" s="532"/>
      <c r="W313" s="532"/>
      <c r="X313" s="532"/>
      <c r="Y313" s="532"/>
      <c r="Z313" s="532"/>
      <c r="AA313" s="532"/>
      <c r="AB313" s="532"/>
      <c r="AC313" s="532"/>
      <c r="AD313" s="532"/>
      <c r="AE313" s="532"/>
      <c r="AF313" s="532"/>
      <c r="AG313" s="532"/>
      <c r="AH313" s="532"/>
      <c r="AI313" s="532"/>
      <c r="AJ313" s="532"/>
    </row>
    <row r="314" spans="13:36" ht="12.95" customHeight="1" x14ac:dyDescent="0.2">
      <c r="M314" s="532"/>
      <c r="N314" s="532"/>
      <c r="O314" s="532"/>
      <c r="P314" s="90"/>
      <c r="Q314" s="532"/>
      <c r="R314" s="219"/>
      <c r="S314" s="532"/>
      <c r="T314" s="90"/>
      <c r="U314" s="532"/>
      <c r="V314" s="532"/>
      <c r="W314" s="532"/>
      <c r="X314" s="532"/>
      <c r="Y314" s="532"/>
      <c r="Z314" s="532"/>
      <c r="AA314" s="532"/>
      <c r="AB314" s="532"/>
      <c r="AC314" s="532"/>
      <c r="AD314" s="532"/>
      <c r="AE314" s="532"/>
      <c r="AF314" s="532"/>
      <c r="AG314" s="532"/>
      <c r="AH314" s="532"/>
      <c r="AI314" s="532"/>
      <c r="AJ314" s="532"/>
    </row>
    <row r="315" spans="13:36" ht="12.95" customHeight="1" x14ac:dyDescent="0.2">
      <c r="M315" s="532"/>
      <c r="N315" s="532"/>
      <c r="O315" s="532"/>
      <c r="P315" s="90"/>
      <c r="Q315" s="532"/>
      <c r="R315" s="219"/>
      <c r="S315" s="532"/>
      <c r="T315" s="90"/>
      <c r="U315" s="532"/>
      <c r="V315" s="532"/>
      <c r="W315" s="532"/>
      <c r="X315" s="532"/>
      <c r="Y315" s="532"/>
      <c r="Z315" s="532"/>
      <c r="AA315" s="532"/>
      <c r="AB315" s="532"/>
      <c r="AC315" s="532"/>
      <c r="AD315" s="532"/>
      <c r="AE315" s="532"/>
      <c r="AF315" s="532"/>
      <c r="AG315" s="532"/>
      <c r="AH315" s="532"/>
      <c r="AI315" s="532"/>
      <c r="AJ315" s="532"/>
    </row>
    <row r="316" spans="13:36" ht="12.95" customHeight="1" x14ac:dyDescent="0.2">
      <c r="M316" s="532"/>
      <c r="N316" s="532"/>
      <c r="O316" s="532"/>
      <c r="P316" s="90"/>
      <c r="Q316" s="532"/>
      <c r="R316" s="219"/>
      <c r="S316" s="532"/>
      <c r="T316" s="90"/>
      <c r="U316" s="532"/>
      <c r="V316" s="532"/>
      <c r="W316" s="532"/>
      <c r="X316" s="532"/>
      <c r="Y316" s="532"/>
      <c r="Z316" s="532"/>
      <c r="AA316" s="532"/>
      <c r="AB316" s="532"/>
      <c r="AC316" s="532"/>
      <c r="AD316" s="532"/>
      <c r="AE316" s="532"/>
      <c r="AF316" s="532"/>
      <c r="AG316" s="532"/>
      <c r="AH316" s="532"/>
      <c r="AI316" s="532"/>
      <c r="AJ316" s="532"/>
    </row>
    <row r="317" spans="13:36" ht="12.95" customHeight="1" x14ac:dyDescent="0.2">
      <c r="M317" s="532"/>
      <c r="N317" s="532"/>
      <c r="O317" s="532"/>
      <c r="P317" s="90"/>
      <c r="Q317" s="532"/>
      <c r="R317" s="219"/>
      <c r="S317" s="532"/>
      <c r="T317" s="90"/>
      <c r="U317" s="532"/>
      <c r="V317" s="532"/>
      <c r="W317" s="532"/>
      <c r="X317" s="532"/>
      <c r="Y317" s="532"/>
      <c r="Z317" s="532"/>
      <c r="AA317" s="532"/>
      <c r="AB317" s="532"/>
      <c r="AC317" s="532"/>
      <c r="AD317" s="532"/>
      <c r="AE317" s="532"/>
      <c r="AF317" s="532"/>
      <c r="AG317" s="532"/>
      <c r="AH317" s="532"/>
      <c r="AI317" s="532"/>
      <c r="AJ317" s="532"/>
    </row>
    <row r="318" spans="13:36" ht="12.95" customHeight="1" x14ac:dyDescent="0.2">
      <c r="M318" s="532"/>
      <c r="N318" s="532"/>
      <c r="O318" s="532"/>
      <c r="P318" s="90"/>
      <c r="Q318" s="532"/>
      <c r="R318" s="219"/>
      <c r="S318" s="532"/>
      <c r="T318" s="90"/>
      <c r="U318" s="532"/>
      <c r="V318" s="532"/>
      <c r="W318" s="532"/>
      <c r="X318" s="532"/>
      <c r="Y318" s="532"/>
      <c r="Z318" s="532"/>
      <c r="AA318" s="532"/>
      <c r="AB318" s="532"/>
      <c r="AC318" s="532"/>
      <c r="AD318" s="532"/>
      <c r="AE318" s="532"/>
      <c r="AF318" s="532"/>
      <c r="AG318" s="532"/>
      <c r="AH318" s="532"/>
      <c r="AI318" s="532"/>
      <c r="AJ318" s="532"/>
    </row>
    <row r="319" spans="13:36" ht="12.95" customHeight="1" x14ac:dyDescent="0.2">
      <c r="M319" s="532"/>
      <c r="N319" s="532"/>
      <c r="O319" s="532"/>
      <c r="P319" s="90"/>
      <c r="Q319" s="532"/>
      <c r="R319" s="219"/>
      <c r="S319" s="532"/>
      <c r="T319" s="90"/>
      <c r="U319" s="532"/>
      <c r="V319" s="532"/>
      <c r="W319" s="532"/>
      <c r="X319" s="532"/>
      <c r="Y319" s="532"/>
      <c r="Z319" s="532"/>
      <c r="AA319" s="532"/>
      <c r="AB319" s="532"/>
      <c r="AC319" s="532"/>
      <c r="AD319" s="532"/>
      <c r="AE319" s="532"/>
      <c r="AF319" s="532"/>
      <c r="AG319" s="532"/>
      <c r="AH319" s="532"/>
      <c r="AI319" s="532"/>
      <c r="AJ319" s="532"/>
    </row>
    <row r="320" spans="13:36" ht="12.95" customHeight="1" x14ac:dyDescent="0.2">
      <c r="M320" s="532"/>
      <c r="N320" s="532"/>
      <c r="O320" s="532"/>
      <c r="P320" s="90"/>
      <c r="Q320" s="532"/>
      <c r="R320" s="219"/>
      <c r="S320" s="532"/>
      <c r="T320" s="90"/>
      <c r="U320" s="532"/>
      <c r="V320" s="532"/>
      <c r="W320" s="532"/>
      <c r="X320" s="532"/>
      <c r="Y320" s="532"/>
      <c r="Z320" s="532"/>
      <c r="AA320" s="532"/>
      <c r="AB320" s="532"/>
      <c r="AC320" s="532"/>
      <c r="AD320" s="532"/>
      <c r="AE320" s="532"/>
      <c r="AF320" s="532"/>
      <c r="AG320" s="532"/>
      <c r="AH320" s="532"/>
      <c r="AI320" s="532"/>
      <c r="AJ320" s="532"/>
    </row>
    <row r="321" spans="13:36" ht="12.95" customHeight="1" x14ac:dyDescent="0.2">
      <c r="M321" s="532"/>
      <c r="N321" s="532"/>
      <c r="O321" s="532"/>
      <c r="P321" s="90"/>
      <c r="Q321" s="532"/>
      <c r="R321" s="219"/>
      <c r="S321" s="532"/>
      <c r="T321" s="90"/>
      <c r="U321" s="532"/>
      <c r="V321" s="532"/>
      <c r="W321" s="532"/>
      <c r="X321" s="532"/>
      <c r="Y321" s="532"/>
      <c r="Z321" s="532"/>
      <c r="AA321" s="532"/>
      <c r="AB321" s="532"/>
      <c r="AC321" s="532"/>
      <c r="AD321" s="532"/>
      <c r="AE321" s="532"/>
      <c r="AF321" s="532"/>
      <c r="AG321" s="532"/>
      <c r="AH321" s="532"/>
      <c r="AI321" s="532"/>
      <c r="AJ321" s="532"/>
    </row>
    <row r="322" spans="13:36" ht="12.95" customHeight="1" x14ac:dyDescent="0.2">
      <c r="M322" s="532"/>
      <c r="N322" s="532"/>
      <c r="O322" s="532"/>
      <c r="P322" s="90"/>
      <c r="Q322" s="532"/>
      <c r="R322" s="219"/>
      <c r="S322" s="532"/>
      <c r="T322" s="90"/>
      <c r="U322" s="532"/>
      <c r="V322" s="532"/>
      <c r="W322" s="532"/>
      <c r="X322" s="532"/>
      <c r="Y322" s="532"/>
      <c r="Z322" s="532"/>
      <c r="AA322" s="532"/>
      <c r="AB322" s="532"/>
      <c r="AC322" s="532"/>
      <c r="AD322" s="532"/>
      <c r="AE322" s="532"/>
      <c r="AF322" s="532"/>
      <c r="AG322" s="532"/>
      <c r="AH322" s="532"/>
      <c r="AI322" s="532"/>
      <c r="AJ322" s="532"/>
    </row>
    <row r="323" spans="13:36" ht="12.95" customHeight="1" x14ac:dyDescent="0.2">
      <c r="M323" s="532"/>
      <c r="N323" s="532"/>
      <c r="O323" s="532"/>
      <c r="P323" s="90"/>
      <c r="Q323" s="532"/>
      <c r="R323" s="219"/>
      <c r="S323" s="532"/>
      <c r="T323" s="90"/>
      <c r="U323" s="532"/>
      <c r="V323" s="532"/>
      <c r="W323" s="532"/>
      <c r="X323" s="532"/>
      <c r="Y323" s="532"/>
      <c r="Z323" s="532"/>
      <c r="AA323" s="532"/>
      <c r="AB323" s="532"/>
      <c r="AC323" s="532"/>
      <c r="AD323" s="532"/>
      <c r="AE323" s="532"/>
      <c r="AF323" s="532"/>
      <c r="AG323" s="532"/>
      <c r="AH323" s="532"/>
      <c r="AI323" s="532"/>
      <c r="AJ323" s="532"/>
    </row>
    <row r="324" spans="13:36" ht="12.95" customHeight="1" x14ac:dyDescent="0.2">
      <c r="M324" s="532"/>
      <c r="N324" s="532"/>
      <c r="O324" s="532"/>
      <c r="P324" s="90"/>
      <c r="Q324" s="532"/>
      <c r="R324" s="219"/>
      <c r="S324" s="532"/>
      <c r="T324" s="90"/>
      <c r="U324" s="532"/>
      <c r="V324" s="532"/>
      <c r="W324" s="532"/>
      <c r="X324" s="532"/>
      <c r="Y324" s="532"/>
      <c r="Z324" s="532"/>
      <c r="AA324" s="532"/>
      <c r="AB324" s="532"/>
      <c r="AC324" s="532"/>
      <c r="AD324" s="532"/>
      <c r="AE324" s="532"/>
      <c r="AF324" s="532"/>
      <c r="AG324" s="532"/>
      <c r="AH324" s="532"/>
      <c r="AI324" s="532"/>
      <c r="AJ324" s="532"/>
    </row>
    <row r="325" spans="13:36" ht="12.95" customHeight="1" x14ac:dyDescent="0.2">
      <c r="M325" s="532"/>
      <c r="N325" s="532"/>
      <c r="O325" s="532"/>
      <c r="P325" s="90"/>
      <c r="Q325" s="532"/>
      <c r="R325" s="219"/>
      <c r="S325" s="532"/>
      <c r="T325" s="90"/>
      <c r="U325" s="532"/>
      <c r="V325" s="532"/>
      <c r="W325" s="532"/>
      <c r="X325" s="532"/>
      <c r="Y325" s="532"/>
      <c r="Z325" s="532"/>
      <c r="AA325" s="532"/>
      <c r="AB325" s="532"/>
      <c r="AC325" s="532"/>
      <c r="AD325" s="532"/>
      <c r="AE325" s="532"/>
      <c r="AF325" s="532"/>
      <c r="AG325" s="532"/>
      <c r="AH325" s="532"/>
      <c r="AI325" s="532"/>
      <c r="AJ325" s="532"/>
    </row>
    <row r="326" spans="13:36" ht="12.95" customHeight="1" x14ac:dyDescent="0.2">
      <c r="M326" s="532"/>
      <c r="N326" s="532"/>
      <c r="O326" s="532"/>
      <c r="P326" s="90"/>
      <c r="Q326" s="532"/>
      <c r="R326" s="219"/>
      <c r="S326" s="532"/>
      <c r="T326" s="90"/>
      <c r="U326" s="532"/>
      <c r="V326" s="532"/>
      <c r="W326" s="532"/>
      <c r="X326" s="532"/>
      <c r="Y326" s="532"/>
      <c r="Z326" s="532"/>
      <c r="AA326" s="532"/>
      <c r="AB326" s="532"/>
      <c r="AC326" s="532"/>
      <c r="AD326" s="532"/>
      <c r="AE326" s="532"/>
      <c r="AF326" s="532"/>
      <c r="AG326" s="532"/>
      <c r="AH326" s="532"/>
      <c r="AI326" s="532"/>
      <c r="AJ326" s="532"/>
    </row>
    <row r="327" spans="13:36" ht="12.95" customHeight="1" x14ac:dyDescent="0.2">
      <c r="M327" s="532"/>
      <c r="N327" s="532"/>
      <c r="O327" s="532"/>
      <c r="P327" s="90"/>
      <c r="Q327" s="532"/>
      <c r="R327" s="219"/>
      <c r="S327" s="532"/>
      <c r="T327" s="90"/>
      <c r="U327" s="532"/>
      <c r="V327" s="532"/>
      <c r="W327" s="532"/>
      <c r="X327" s="532"/>
      <c r="Y327" s="532"/>
      <c r="Z327" s="532"/>
      <c r="AA327" s="532"/>
      <c r="AB327" s="532"/>
      <c r="AC327" s="532"/>
      <c r="AD327" s="532"/>
      <c r="AE327" s="532"/>
      <c r="AF327" s="532"/>
      <c r="AG327" s="532"/>
      <c r="AH327" s="532"/>
      <c r="AI327" s="532"/>
      <c r="AJ327" s="532"/>
    </row>
    <row r="328" spans="13:36" ht="12.95" customHeight="1" x14ac:dyDescent="0.2">
      <c r="M328" s="532"/>
      <c r="N328" s="532"/>
      <c r="O328" s="532"/>
      <c r="P328" s="90"/>
      <c r="Q328" s="532"/>
      <c r="R328" s="219"/>
      <c r="S328" s="532"/>
      <c r="T328" s="90"/>
      <c r="U328" s="532"/>
      <c r="V328" s="532"/>
      <c r="W328" s="532"/>
      <c r="X328" s="532"/>
      <c r="Y328" s="532"/>
      <c r="Z328" s="532"/>
      <c r="AA328" s="532"/>
      <c r="AB328" s="532"/>
      <c r="AC328" s="532"/>
      <c r="AD328" s="532"/>
      <c r="AE328" s="532"/>
      <c r="AF328" s="532"/>
      <c r="AG328" s="532"/>
      <c r="AH328" s="532"/>
      <c r="AI328" s="532"/>
      <c r="AJ328" s="532"/>
    </row>
    <row r="329" spans="13:36" ht="12.95" customHeight="1" x14ac:dyDescent="0.2">
      <c r="M329" s="532"/>
      <c r="N329" s="532"/>
      <c r="O329" s="532"/>
      <c r="P329" s="90"/>
      <c r="Q329" s="532"/>
      <c r="R329" s="219"/>
      <c r="S329" s="532"/>
      <c r="T329" s="90"/>
      <c r="U329" s="532"/>
      <c r="V329" s="532"/>
      <c r="W329" s="532"/>
      <c r="X329" s="532"/>
      <c r="Y329" s="532"/>
      <c r="Z329" s="532"/>
      <c r="AA329" s="532"/>
      <c r="AB329" s="532"/>
      <c r="AC329" s="532"/>
      <c r="AD329" s="532"/>
      <c r="AE329" s="532"/>
      <c r="AF329" s="532"/>
      <c r="AG329" s="532"/>
      <c r="AH329" s="532"/>
      <c r="AI329" s="532"/>
      <c r="AJ329" s="532"/>
    </row>
    <row r="330" spans="13:36" ht="12.95" customHeight="1" x14ac:dyDescent="0.2">
      <c r="M330" s="532"/>
      <c r="N330" s="532"/>
      <c r="O330" s="532"/>
      <c r="P330" s="90"/>
      <c r="Q330" s="532"/>
      <c r="R330" s="219"/>
      <c r="S330" s="532"/>
      <c r="T330" s="90"/>
      <c r="U330" s="532"/>
      <c r="V330" s="532"/>
      <c r="W330" s="532"/>
      <c r="X330" s="532"/>
      <c r="Y330" s="532"/>
      <c r="Z330" s="532"/>
      <c r="AA330" s="532"/>
      <c r="AB330" s="532"/>
      <c r="AC330" s="532"/>
      <c r="AD330" s="532"/>
      <c r="AE330" s="532"/>
      <c r="AF330" s="532"/>
      <c r="AG330" s="532"/>
      <c r="AH330" s="532"/>
      <c r="AI330" s="532"/>
      <c r="AJ330" s="532"/>
    </row>
    <row r="331" spans="13:36" ht="12.95" customHeight="1" x14ac:dyDescent="0.2">
      <c r="M331" s="532"/>
      <c r="N331" s="532"/>
      <c r="O331" s="532"/>
      <c r="P331" s="90"/>
      <c r="Q331" s="532"/>
      <c r="R331" s="219"/>
      <c r="S331" s="532"/>
      <c r="T331" s="90"/>
      <c r="U331" s="532"/>
      <c r="V331" s="532"/>
      <c r="W331" s="532"/>
      <c r="X331" s="532"/>
      <c r="Y331" s="532"/>
      <c r="Z331" s="532"/>
      <c r="AA331" s="532"/>
      <c r="AB331" s="532"/>
      <c r="AC331" s="532"/>
      <c r="AD331" s="532"/>
      <c r="AE331" s="532"/>
      <c r="AF331" s="532"/>
      <c r="AG331" s="532"/>
      <c r="AH331" s="532"/>
      <c r="AI331" s="532"/>
      <c r="AJ331" s="532"/>
    </row>
    <row r="332" spans="13:36" ht="12.95" customHeight="1" x14ac:dyDescent="0.2">
      <c r="M332" s="532"/>
      <c r="N332" s="532"/>
      <c r="O332" s="532"/>
      <c r="P332" s="90"/>
      <c r="Q332" s="532"/>
      <c r="R332" s="219"/>
      <c r="S332" s="532"/>
      <c r="T332" s="90"/>
      <c r="U332" s="532"/>
      <c r="V332" s="532"/>
      <c r="W332" s="532"/>
      <c r="X332" s="532"/>
      <c r="Y332" s="532"/>
      <c r="Z332" s="532"/>
      <c r="AA332" s="532"/>
      <c r="AB332" s="532"/>
      <c r="AC332" s="532"/>
      <c r="AD332" s="532"/>
      <c r="AE332" s="532"/>
      <c r="AF332" s="532"/>
      <c r="AG332" s="532"/>
      <c r="AH332" s="532"/>
      <c r="AI332" s="532"/>
      <c r="AJ332" s="532"/>
    </row>
    <row r="333" spans="13:36" ht="12.95" customHeight="1" x14ac:dyDescent="0.2">
      <c r="M333" s="532"/>
      <c r="N333" s="532"/>
      <c r="O333" s="532"/>
      <c r="P333" s="90"/>
      <c r="Q333" s="532"/>
      <c r="R333" s="219"/>
      <c r="S333" s="532"/>
      <c r="T333" s="90"/>
      <c r="U333" s="532"/>
      <c r="V333" s="532"/>
      <c r="W333" s="532"/>
      <c r="X333" s="532"/>
      <c r="Y333" s="532"/>
      <c r="Z333" s="532"/>
      <c r="AA333" s="532"/>
      <c r="AB333" s="532"/>
      <c r="AC333" s="532"/>
      <c r="AD333" s="532"/>
      <c r="AE333" s="532"/>
      <c r="AF333" s="532"/>
      <c r="AG333" s="532"/>
      <c r="AH333" s="532"/>
      <c r="AI333" s="532"/>
      <c r="AJ333" s="532"/>
    </row>
    <row r="334" spans="13:36" ht="12.95" customHeight="1" x14ac:dyDescent="0.2">
      <c r="M334" s="532"/>
      <c r="N334" s="532"/>
      <c r="O334" s="532"/>
      <c r="P334" s="90"/>
      <c r="Q334" s="532"/>
      <c r="R334" s="219"/>
      <c r="S334" s="532"/>
      <c r="T334" s="90"/>
      <c r="U334" s="532"/>
      <c r="V334" s="532"/>
      <c r="W334" s="532"/>
      <c r="X334" s="532"/>
      <c r="Y334" s="532"/>
      <c r="Z334" s="532"/>
      <c r="AA334" s="532"/>
      <c r="AB334" s="532"/>
      <c r="AC334" s="532"/>
      <c r="AD334" s="532"/>
      <c r="AE334" s="532"/>
      <c r="AF334" s="532"/>
      <c r="AG334" s="532"/>
      <c r="AH334" s="532"/>
      <c r="AI334" s="532"/>
      <c r="AJ334" s="532"/>
    </row>
    <row r="335" spans="13:36" ht="12.95" customHeight="1" x14ac:dyDescent="0.2">
      <c r="M335" s="532"/>
      <c r="N335" s="532"/>
      <c r="O335" s="532"/>
      <c r="P335" s="90"/>
      <c r="Q335" s="532"/>
      <c r="R335" s="219"/>
      <c r="S335" s="532"/>
      <c r="T335" s="90"/>
      <c r="U335" s="532"/>
      <c r="V335" s="532"/>
      <c r="W335" s="532"/>
      <c r="X335" s="532"/>
      <c r="Y335" s="532"/>
      <c r="Z335" s="532"/>
      <c r="AA335" s="532"/>
      <c r="AB335" s="532"/>
      <c r="AC335" s="532"/>
      <c r="AD335" s="532"/>
      <c r="AE335" s="532"/>
      <c r="AF335" s="532"/>
      <c r="AG335" s="532"/>
      <c r="AH335" s="532"/>
      <c r="AI335" s="532"/>
      <c r="AJ335" s="532"/>
    </row>
    <row r="336" spans="13:36" ht="12.95" customHeight="1" x14ac:dyDescent="0.2">
      <c r="M336" s="532"/>
      <c r="N336" s="532"/>
      <c r="O336" s="532"/>
      <c r="P336" s="90"/>
      <c r="Q336" s="532"/>
      <c r="R336" s="219"/>
      <c r="S336" s="532"/>
      <c r="T336" s="90"/>
      <c r="U336" s="532"/>
      <c r="V336" s="532"/>
      <c r="W336" s="532"/>
      <c r="X336" s="532"/>
      <c r="Y336" s="532"/>
      <c r="Z336" s="532"/>
      <c r="AA336" s="532"/>
      <c r="AB336" s="532"/>
      <c r="AC336" s="532"/>
      <c r="AD336" s="532"/>
      <c r="AE336" s="532"/>
      <c r="AF336" s="532"/>
      <c r="AG336" s="532"/>
      <c r="AH336" s="532"/>
      <c r="AI336" s="532"/>
      <c r="AJ336" s="532"/>
    </row>
    <row r="337" spans="13:36" ht="12.95" customHeight="1" x14ac:dyDescent="0.2">
      <c r="M337" s="532"/>
      <c r="N337" s="532"/>
      <c r="O337" s="532"/>
      <c r="P337" s="90"/>
      <c r="Q337" s="532"/>
      <c r="R337" s="219"/>
      <c r="S337" s="532"/>
      <c r="T337" s="90"/>
      <c r="U337" s="532"/>
      <c r="V337" s="532"/>
      <c r="W337" s="532"/>
      <c r="X337" s="532"/>
      <c r="Y337" s="532"/>
      <c r="Z337" s="532"/>
      <c r="AA337" s="532"/>
      <c r="AB337" s="532"/>
      <c r="AC337" s="532"/>
      <c r="AD337" s="532"/>
      <c r="AE337" s="532"/>
      <c r="AF337" s="532"/>
      <c r="AG337" s="532"/>
      <c r="AH337" s="532"/>
      <c r="AI337" s="532"/>
      <c r="AJ337" s="532"/>
    </row>
    <row r="338" spans="13:36" ht="12.95" customHeight="1" x14ac:dyDescent="0.2">
      <c r="M338" s="532"/>
      <c r="N338" s="532"/>
      <c r="O338" s="532"/>
      <c r="P338" s="90"/>
      <c r="Q338" s="532"/>
      <c r="R338" s="219"/>
      <c r="S338" s="532"/>
      <c r="T338" s="90"/>
      <c r="U338" s="532"/>
      <c r="V338" s="532"/>
      <c r="W338" s="532"/>
      <c r="X338" s="532"/>
      <c r="Y338" s="532"/>
      <c r="Z338" s="532"/>
      <c r="AA338" s="532"/>
      <c r="AB338" s="532"/>
      <c r="AC338" s="532"/>
      <c r="AD338" s="532"/>
      <c r="AE338" s="532"/>
      <c r="AF338" s="532"/>
      <c r="AG338" s="532"/>
      <c r="AH338" s="532"/>
      <c r="AI338" s="532"/>
      <c r="AJ338" s="532"/>
    </row>
    <row r="339" spans="13:36" ht="12.95" customHeight="1" x14ac:dyDescent="0.2">
      <c r="M339" s="532"/>
      <c r="N339" s="532"/>
      <c r="O339" s="532"/>
      <c r="P339" s="90"/>
      <c r="Q339" s="532"/>
      <c r="R339" s="219"/>
      <c r="S339" s="532"/>
      <c r="T339" s="90"/>
      <c r="U339" s="532"/>
      <c r="V339" s="532"/>
      <c r="W339" s="532"/>
      <c r="X339" s="532"/>
      <c r="Y339" s="532"/>
      <c r="Z339" s="532"/>
      <c r="AA339" s="532"/>
      <c r="AB339" s="532"/>
      <c r="AC339" s="532"/>
      <c r="AD339" s="532"/>
      <c r="AE339" s="532"/>
      <c r="AF339" s="532"/>
      <c r="AG339" s="532"/>
      <c r="AH339" s="532"/>
      <c r="AI339" s="532"/>
      <c r="AJ339" s="532"/>
    </row>
    <row r="340" spans="13:36" ht="12.95" customHeight="1" x14ac:dyDescent="0.2">
      <c r="M340" s="532"/>
      <c r="N340" s="532"/>
      <c r="O340" s="532"/>
      <c r="P340" s="90"/>
      <c r="Q340" s="532"/>
      <c r="R340" s="219"/>
      <c r="S340" s="532"/>
      <c r="T340" s="90"/>
      <c r="U340" s="532"/>
      <c r="V340" s="532"/>
      <c r="W340" s="532"/>
      <c r="X340" s="532"/>
      <c r="Y340" s="532"/>
      <c r="Z340" s="532"/>
      <c r="AA340" s="532"/>
      <c r="AB340" s="532"/>
      <c r="AC340" s="532"/>
      <c r="AD340" s="532"/>
      <c r="AE340" s="532"/>
      <c r="AF340" s="532"/>
      <c r="AG340" s="532"/>
      <c r="AH340" s="532"/>
      <c r="AI340" s="532"/>
      <c r="AJ340" s="532"/>
    </row>
    <row r="341" spans="13:36" ht="12.95" customHeight="1" x14ac:dyDescent="0.2">
      <c r="M341" s="532"/>
      <c r="N341" s="532"/>
      <c r="O341" s="532"/>
      <c r="P341" s="90"/>
      <c r="Q341" s="532"/>
      <c r="R341" s="219"/>
      <c r="S341" s="532"/>
      <c r="T341" s="90"/>
      <c r="U341" s="532"/>
      <c r="V341" s="532"/>
      <c r="W341" s="532"/>
      <c r="X341" s="532"/>
      <c r="Y341" s="532"/>
      <c r="Z341" s="532"/>
      <c r="AA341" s="532"/>
      <c r="AB341" s="532"/>
      <c r="AC341" s="532"/>
      <c r="AD341" s="532"/>
      <c r="AE341" s="532"/>
      <c r="AF341" s="532"/>
      <c r="AG341" s="532"/>
      <c r="AH341" s="532"/>
      <c r="AI341" s="532"/>
      <c r="AJ341" s="532"/>
    </row>
    <row r="342" spans="13:36" ht="12.95" customHeight="1" x14ac:dyDescent="0.2">
      <c r="M342" s="532"/>
      <c r="N342" s="532"/>
      <c r="O342" s="532"/>
      <c r="P342" s="90"/>
      <c r="Q342" s="532"/>
      <c r="R342" s="219"/>
      <c r="S342" s="532"/>
      <c r="T342" s="90"/>
      <c r="U342" s="532"/>
      <c r="V342" s="532"/>
      <c r="W342" s="532"/>
      <c r="X342" s="532"/>
      <c r="Y342" s="532"/>
      <c r="Z342" s="532"/>
      <c r="AA342" s="532"/>
      <c r="AB342" s="532"/>
      <c r="AC342" s="532"/>
      <c r="AD342" s="532"/>
      <c r="AE342" s="532"/>
      <c r="AF342" s="532"/>
      <c r="AG342" s="532"/>
      <c r="AH342" s="532"/>
      <c r="AI342" s="532"/>
      <c r="AJ342" s="532"/>
    </row>
    <row r="343" spans="13:36" ht="12.95" customHeight="1" x14ac:dyDescent="0.2">
      <c r="M343" s="532"/>
      <c r="N343" s="532"/>
      <c r="O343" s="532"/>
      <c r="P343" s="90"/>
      <c r="Q343" s="532"/>
      <c r="R343" s="219"/>
      <c r="S343" s="532"/>
      <c r="T343" s="90"/>
      <c r="U343" s="532"/>
      <c r="V343" s="532"/>
      <c r="W343" s="532"/>
      <c r="X343" s="532"/>
      <c r="Y343" s="532"/>
      <c r="Z343" s="532"/>
      <c r="AA343" s="532"/>
      <c r="AB343" s="532"/>
      <c r="AC343" s="532"/>
      <c r="AD343" s="532"/>
      <c r="AE343" s="532"/>
      <c r="AF343" s="532"/>
      <c r="AG343" s="532"/>
      <c r="AH343" s="532"/>
      <c r="AI343" s="532"/>
      <c r="AJ343" s="532"/>
    </row>
    <row r="344" spans="13:36" ht="12.95" customHeight="1" x14ac:dyDescent="0.2">
      <c r="M344" s="532"/>
      <c r="N344" s="532"/>
      <c r="O344" s="532"/>
      <c r="P344" s="90"/>
      <c r="Q344" s="532"/>
      <c r="R344" s="219"/>
      <c r="S344" s="532"/>
      <c r="T344" s="90"/>
      <c r="U344" s="532"/>
      <c r="V344" s="532"/>
      <c r="W344" s="532"/>
      <c r="X344" s="532"/>
      <c r="Y344" s="532"/>
      <c r="Z344" s="532"/>
      <c r="AA344" s="532"/>
      <c r="AB344" s="532"/>
      <c r="AC344" s="532"/>
      <c r="AD344" s="532"/>
      <c r="AE344" s="532"/>
      <c r="AF344" s="532"/>
      <c r="AG344" s="532"/>
      <c r="AH344" s="532"/>
      <c r="AI344" s="532"/>
      <c r="AJ344" s="532"/>
    </row>
    <row r="345" spans="13:36" ht="12.95" customHeight="1" x14ac:dyDescent="0.2">
      <c r="M345" s="532"/>
      <c r="N345" s="532"/>
      <c r="O345" s="532"/>
      <c r="P345" s="90"/>
      <c r="Q345" s="532"/>
      <c r="R345" s="219"/>
      <c r="S345" s="532"/>
      <c r="T345" s="90"/>
      <c r="U345" s="532"/>
      <c r="V345" s="532"/>
      <c r="W345" s="532"/>
      <c r="X345" s="532"/>
      <c r="Y345" s="532"/>
      <c r="Z345" s="532"/>
      <c r="AA345" s="532"/>
      <c r="AB345" s="532"/>
      <c r="AC345" s="532"/>
      <c r="AD345" s="532"/>
      <c r="AE345" s="532"/>
      <c r="AF345" s="532"/>
      <c r="AG345" s="532"/>
      <c r="AH345" s="532"/>
      <c r="AI345" s="532"/>
      <c r="AJ345" s="532"/>
    </row>
    <row r="346" spans="13:36" ht="12.95" customHeight="1" x14ac:dyDescent="0.2">
      <c r="M346" s="532"/>
      <c r="N346" s="532"/>
      <c r="O346" s="532"/>
      <c r="P346" s="90"/>
      <c r="Q346" s="532"/>
      <c r="R346" s="219"/>
      <c r="S346" s="532"/>
      <c r="T346" s="90"/>
      <c r="U346" s="532"/>
      <c r="V346" s="532"/>
      <c r="W346" s="532"/>
      <c r="X346" s="532"/>
      <c r="Y346" s="532"/>
      <c r="Z346" s="532"/>
      <c r="AA346" s="532"/>
      <c r="AB346" s="532"/>
      <c r="AC346" s="532"/>
      <c r="AD346" s="532"/>
      <c r="AE346" s="532"/>
      <c r="AF346" s="532"/>
      <c r="AG346" s="532"/>
      <c r="AH346" s="532"/>
      <c r="AI346" s="532"/>
      <c r="AJ346" s="532"/>
    </row>
    <row r="347" spans="13:36" ht="12.95" customHeight="1" x14ac:dyDescent="0.2">
      <c r="M347" s="532"/>
      <c r="N347" s="532"/>
      <c r="O347" s="532"/>
      <c r="P347" s="90"/>
      <c r="Q347" s="532"/>
      <c r="R347" s="219"/>
      <c r="S347" s="532"/>
      <c r="T347" s="90"/>
      <c r="U347" s="532"/>
      <c r="V347" s="532"/>
      <c r="W347" s="532"/>
      <c r="X347" s="532"/>
      <c r="Y347" s="532"/>
      <c r="Z347" s="532"/>
      <c r="AA347" s="532"/>
      <c r="AB347" s="532"/>
      <c r="AC347" s="532"/>
      <c r="AD347" s="532"/>
      <c r="AE347" s="532"/>
      <c r="AF347" s="532"/>
      <c r="AG347" s="532"/>
      <c r="AH347" s="532"/>
      <c r="AI347" s="532"/>
      <c r="AJ347" s="532"/>
    </row>
    <row r="348" spans="13:36" ht="12.95" customHeight="1" x14ac:dyDescent="0.2">
      <c r="M348" s="532"/>
      <c r="N348" s="532"/>
      <c r="O348" s="532"/>
      <c r="P348" s="90"/>
      <c r="Q348" s="532"/>
      <c r="R348" s="219"/>
      <c r="S348" s="532"/>
      <c r="T348" s="90"/>
      <c r="U348" s="532"/>
      <c r="V348" s="532"/>
      <c r="W348" s="532"/>
      <c r="X348" s="532"/>
      <c r="Y348" s="532"/>
      <c r="Z348" s="532"/>
      <c r="AA348" s="532"/>
      <c r="AB348" s="532"/>
      <c r="AC348" s="532"/>
      <c r="AD348" s="532"/>
      <c r="AE348" s="532"/>
      <c r="AF348" s="532"/>
      <c r="AG348" s="532"/>
      <c r="AH348" s="532"/>
      <c r="AI348" s="532"/>
      <c r="AJ348" s="532"/>
    </row>
    <row r="349" spans="13:36" ht="12.95" customHeight="1" x14ac:dyDescent="0.2">
      <c r="M349" s="532"/>
      <c r="N349" s="532"/>
      <c r="O349" s="532"/>
      <c r="P349" s="90"/>
      <c r="Q349" s="532"/>
      <c r="R349" s="219"/>
      <c r="S349" s="532"/>
      <c r="T349" s="90"/>
      <c r="U349" s="532"/>
      <c r="V349" s="532"/>
      <c r="W349" s="532"/>
      <c r="X349" s="532"/>
      <c r="Y349" s="532"/>
      <c r="Z349" s="532"/>
      <c r="AA349" s="532"/>
      <c r="AB349" s="532"/>
      <c r="AC349" s="532"/>
      <c r="AD349" s="532"/>
      <c r="AE349" s="532"/>
      <c r="AF349" s="532"/>
      <c r="AG349" s="532"/>
      <c r="AH349" s="532"/>
      <c r="AI349" s="532"/>
      <c r="AJ349" s="532"/>
    </row>
    <row r="350" spans="13:36" ht="12.95" customHeight="1" x14ac:dyDescent="0.2">
      <c r="M350" s="532"/>
      <c r="N350" s="532"/>
      <c r="O350" s="532"/>
      <c r="P350" s="90"/>
      <c r="Q350" s="532"/>
      <c r="R350" s="219"/>
      <c r="S350" s="532"/>
      <c r="T350" s="90"/>
      <c r="U350" s="532"/>
      <c r="V350" s="532"/>
      <c r="W350" s="532"/>
      <c r="X350" s="532"/>
      <c r="Y350" s="532"/>
      <c r="Z350" s="532"/>
      <c r="AA350" s="532"/>
      <c r="AB350" s="532"/>
      <c r="AC350" s="532"/>
      <c r="AD350" s="532"/>
      <c r="AE350" s="532"/>
      <c r="AF350" s="532"/>
      <c r="AG350" s="532"/>
      <c r="AH350" s="532"/>
      <c r="AI350" s="532"/>
      <c r="AJ350" s="532"/>
    </row>
    <row r="351" spans="13:36" ht="12.95" customHeight="1" x14ac:dyDescent="0.2">
      <c r="M351" s="532"/>
      <c r="N351" s="532"/>
      <c r="O351" s="532"/>
      <c r="P351" s="90"/>
      <c r="Q351" s="532"/>
      <c r="R351" s="219"/>
      <c r="S351" s="532"/>
      <c r="T351" s="90"/>
      <c r="U351" s="532"/>
      <c r="V351" s="532"/>
      <c r="W351" s="532"/>
      <c r="X351" s="532"/>
      <c r="Y351" s="532"/>
      <c r="Z351" s="532"/>
      <c r="AA351" s="532"/>
      <c r="AB351" s="532"/>
      <c r="AC351" s="532"/>
      <c r="AD351" s="532"/>
      <c r="AE351" s="532"/>
      <c r="AF351" s="532"/>
      <c r="AG351" s="532"/>
      <c r="AH351" s="532"/>
      <c r="AI351" s="532"/>
      <c r="AJ351" s="532"/>
    </row>
    <row r="352" spans="13:36" ht="12.95" customHeight="1" x14ac:dyDescent="0.2">
      <c r="M352" s="532"/>
      <c r="N352" s="532"/>
      <c r="O352" s="532"/>
      <c r="P352" s="90"/>
      <c r="Q352" s="532"/>
      <c r="R352" s="219"/>
      <c r="S352" s="532"/>
      <c r="T352" s="90"/>
      <c r="U352" s="532"/>
      <c r="V352" s="532"/>
      <c r="W352" s="532"/>
      <c r="X352" s="532"/>
      <c r="Y352" s="532"/>
      <c r="Z352" s="532"/>
      <c r="AA352" s="532"/>
      <c r="AB352" s="532"/>
      <c r="AC352" s="532"/>
      <c r="AD352" s="532"/>
      <c r="AE352" s="532"/>
      <c r="AF352" s="532"/>
      <c r="AG352" s="532"/>
      <c r="AH352" s="532"/>
      <c r="AI352" s="532"/>
      <c r="AJ352" s="532"/>
    </row>
    <row r="353" spans="13:36" ht="12.95" customHeight="1" x14ac:dyDescent="0.2">
      <c r="M353" s="532"/>
      <c r="N353" s="532"/>
      <c r="O353" s="532"/>
      <c r="P353" s="90"/>
      <c r="Q353" s="532"/>
      <c r="R353" s="219"/>
      <c r="S353" s="532"/>
      <c r="T353" s="90"/>
      <c r="U353" s="532"/>
      <c r="V353" s="532"/>
      <c r="W353" s="532"/>
      <c r="X353" s="532"/>
      <c r="Y353" s="532"/>
      <c r="Z353" s="532"/>
      <c r="AA353" s="532"/>
      <c r="AB353" s="532"/>
      <c r="AC353" s="532"/>
      <c r="AD353" s="532"/>
      <c r="AE353" s="532"/>
      <c r="AF353" s="532"/>
      <c r="AG353" s="532"/>
      <c r="AH353" s="532"/>
      <c r="AI353" s="532"/>
      <c r="AJ353" s="532"/>
    </row>
    <row r="354" spans="13:36" ht="12.95" customHeight="1" x14ac:dyDescent="0.2">
      <c r="M354" s="532"/>
      <c r="N354" s="532"/>
      <c r="O354" s="532"/>
      <c r="P354" s="90"/>
      <c r="Q354" s="532"/>
      <c r="R354" s="219"/>
      <c r="S354" s="532"/>
      <c r="T354" s="90"/>
      <c r="U354" s="532"/>
      <c r="V354" s="532"/>
      <c r="W354" s="532"/>
      <c r="X354" s="532"/>
      <c r="Y354" s="532"/>
      <c r="Z354" s="532"/>
      <c r="AA354" s="532"/>
      <c r="AB354" s="532"/>
      <c r="AC354" s="532"/>
      <c r="AD354" s="532"/>
      <c r="AE354" s="532"/>
      <c r="AF354" s="532"/>
      <c r="AG354" s="532"/>
      <c r="AH354" s="532"/>
      <c r="AI354" s="532"/>
      <c r="AJ354" s="532"/>
    </row>
    <row r="355" spans="13:36" ht="12.95" customHeight="1" x14ac:dyDescent="0.2">
      <c r="M355" s="532"/>
      <c r="N355" s="532"/>
      <c r="O355" s="532"/>
      <c r="P355" s="90"/>
      <c r="Q355" s="532"/>
      <c r="R355" s="219"/>
      <c r="S355" s="532"/>
      <c r="T355" s="90"/>
      <c r="U355" s="532"/>
      <c r="V355" s="532"/>
      <c r="W355" s="532"/>
      <c r="X355" s="532"/>
      <c r="Y355" s="532"/>
      <c r="Z355" s="532"/>
      <c r="AA355" s="532"/>
      <c r="AB355" s="532"/>
      <c r="AC355" s="532"/>
      <c r="AD355" s="532"/>
      <c r="AE355" s="532"/>
      <c r="AF355" s="532"/>
      <c r="AG355" s="532"/>
      <c r="AH355" s="532"/>
      <c r="AI355" s="532"/>
      <c r="AJ355" s="532"/>
    </row>
    <row r="356" spans="13:36" ht="12.95" customHeight="1" x14ac:dyDescent="0.2">
      <c r="M356" s="532"/>
      <c r="N356" s="532"/>
      <c r="O356" s="532"/>
      <c r="P356" s="90"/>
      <c r="Q356" s="532"/>
      <c r="R356" s="219"/>
      <c r="S356" s="532"/>
      <c r="T356" s="90"/>
      <c r="U356" s="532"/>
      <c r="V356" s="532"/>
      <c r="W356" s="532"/>
      <c r="X356" s="532"/>
      <c r="Y356" s="532"/>
      <c r="Z356" s="532"/>
      <c r="AA356" s="532"/>
      <c r="AB356" s="532"/>
      <c r="AC356" s="532"/>
      <c r="AD356" s="532"/>
      <c r="AE356" s="532"/>
      <c r="AF356" s="532"/>
      <c r="AG356" s="532"/>
      <c r="AH356" s="532"/>
      <c r="AI356" s="532"/>
      <c r="AJ356" s="532"/>
    </row>
    <row r="357" spans="13:36" ht="12.95" customHeight="1" x14ac:dyDescent="0.2">
      <c r="M357" s="532"/>
      <c r="N357" s="532"/>
      <c r="O357" s="532"/>
      <c r="P357" s="90"/>
      <c r="Q357" s="532"/>
      <c r="R357" s="219"/>
      <c r="S357" s="532"/>
      <c r="T357" s="90"/>
      <c r="U357" s="532"/>
      <c r="V357" s="532"/>
      <c r="W357" s="532"/>
      <c r="X357" s="532"/>
      <c r="Y357" s="532"/>
      <c r="Z357" s="532"/>
      <c r="AA357" s="532"/>
      <c r="AB357" s="532"/>
      <c r="AC357" s="532"/>
      <c r="AD357" s="532"/>
      <c r="AE357" s="532"/>
      <c r="AF357" s="532"/>
      <c r="AG357" s="532"/>
      <c r="AH357" s="532"/>
      <c r="AI357" s="532"/>
      <c r="AJ357" s="532"/>
    </row>
    <row r="358" spans="13:36" ht="12.95" customHeight="1" x14ac:dyDescent="0.2">
      <c r="M358" s="532"/>
      <c r="N358" s="532"/>
      <c r="O358" s="532"/>
      <c r="P358" s="90"/>
      <c r="Q358" s="532"/>
      <c r="R358" s="219"/>
      <c r="S358" s="532"/>
      <c r="T358" s="90"/>
      <c r="U358" s="532"/>
      <c r="V358" s="532"/>
      <c r="W358" s="532"/>
      <c r="X358" s="532"/>
      <c r="Y358" s="532"/>
      <c r="Z358" s="532"/>
      <c r="AA358" s="532"/>
      <c r="AB358" s="532"/>
      <c r="AC358" s="532"/>
      <c r="AD358" s="532"/>
      <c r="AE358" s="532"/>
      <c r="AF358" s="532"/>
      <c r="AG358" s="532"/>
      <c r="AH358" s="532"/>
      <c r="AI358" s="532"/>
      <c r="AJ358" s="532"/>
    </row>
    <row r="359" spans="13:36" ht="12.95" customHeight="1" x14ac:dyDescent="0.2">
      <c r="M359" s="532"/>
      <c r="N359" s="532"/>
      <c r="O359" s="532"/>
      <c r="P359" s="90"/>
      <c r="Q359" s="532"/>
      <c r="R359" s="219"/>
      <c r="S359" s="532"/>
      <c r="T359" s="90"/>
      <c r="U359" s="532"/>
      <c r="V359" s="532"/>
      <c r="W359" s="532"/>
      <c r="X359" s="532"/>
      <c r="Y359" s="532"/>
      <c r="Z359" s="532"/>
      <c r="AA359" s="532"/>
      <c r="AB359" s="532"/>
      <c r="AC359" s="532"/>
      <c r="AD359" s="532"/>
      <c r="AE359" s="532"/>
      <c r="AF359" s="532"/>
      <c r="AG359" s="532"/>
      <c r="AH359" s="532"/>
      <c r="AI359" s="532"/>
      <c r="AJ359" s="532"/>
    </row>
    <row r="360" spans="13:36" ht="12.95" customHeight="1" x14ac:dyDescent="0.2">
      <c r="M360" s="532"/>
      <c r="N360" s="532"/>
      <c r="O360" s="532"/>
      <c r="P360" s="90"/>
      <c r="Q360" s="532"/>
      <c r="R360" s="219"/>
      <c r="S360" s="532"/>
      <c r="T360" s="90"/>
      <c r="U360" s="532"/>
      <c r="V360" s="532"/>
      <c r="W360" s="532"/>
      <c r="X360" s="532"/>
      <c r="Y360" s="532"/>
      <c r="Z360" s="532"/>
      <c r="AA360" s="532"/>
      <c r="AB360" s="532"/>
      <c r="AC360" s="532"/>
      <c r="AD360" s="532"/>
      <c r="AE360" s="532"/>
      <c r="AF360" s="532"/>
      <c r="AG360" s="532"/>
      <c r="AH360" s="532"/>
      <c r="AI360" s="532"/>
      <c r="AJ360" s="532"/>
    </row>
    <row r="361" spans="13:36" ht="12.95" customHeight="1" x14ac:dyDescent="0.2">
      <c r="M361" s="532"/>
      <c r="N361" s="532"/>
      <c r="O361" s="532"/>
      <c r="P361" s="90"/>
      <c r="Q361" s="532"/>
      <c r="R361" s="219"/>
      <c r="S361" s="532"/>
      <c r="T361" s="90"/>
      <c r="U361" s="532"/>
      <c r="V361" s="532"/>
      <c r="W361" s="532"/>
      <c r="X361" s="532"/>
      <c r="Y361" s="532"/>
      <c r="Z361" s="532"/>
      <c r="AA361" s="532"/>
      <c r="AB361" s="532"/>
      <c r="AC361" s="532"/>
      <c r="AD361" s="532"/>
      <c r="AE361" s="532"/>
      <c r="AF361" s="532"/>
      <c r="AG361" s="532"/>
      <c r="AH361" s="532"/>
      <c r="AI361" s="532"/>
      <c r="AJ361" s="532"/>
    </row>
    <row r="362" spans="13:36" ht="12.95" customHeight="1" x14ac:dyDescent="0.2">
      <c r="M362" s="532"/>
      <c r="N362" s="532"/>
      <c r="O362" s="532"/>
      <c r="P362" s="90"/>
      <c r="Q362" s="532"/>
      <c r="R362" s="219"/>
      <c r="S362" s="532"/>
      <c r="T362" s="90"/>
      <c r="U362" s="532"/>
      <c r="V362" s="532"/>
      <c r="W362" s="532"/>
      <c r="X362" s="532"/>
      <c r="Y362" s="532"/>
      <c r="Z362" s="532"/>
      <c r="AA362" s="532"/>
      <c r="AB362" s="532"/>
      <c r="AC362" s="532"/>
      <c r="AD362" s="532"/>
      <c r="AE362" s="532"/>
      <c r="AF362" s="532"/>
      <c r="AG362" s="532"/>
      <c r="AH362" s="532"/>
      <c r="AI362" s="532"/>
      <c r="AJ362" s="532"/>
    </row>
    <row r="363" spans="13:36" ht="12.95" customHeight="1" x14ac:dyDescent="0.2">
      <c r="M363" s="532"/>
      <c r="N363" s="532"/>
      <c r="O363" s="532"/>
      <c r="P363" s="90"/>
      <c r="Q363" s="532"/>
      <c r="R363" s="219"/>
      <c r="S363" s="532"/>
      <c r="T363" s="90"/>
      <c r="U363" s="532"/>
      <c r="V363" s="532"/>
      <c r="W363" s="532"/>
      <c r="X363" s="532"/>
      <c r="Y363" s="532"/>
      <c r="Z363" s="532"/>
      <c r="AA363" s="532"/>
      <c r="AB363" s="532"/>
      <c r="AC363" s="532"/>
      <c r="AD363" s="532"/>
      <c r="AE363" s="532"/>
      <c r="AF363" s="532"/>
      <c r="AG363" s="532"/>
      <c r="AH363" s="532"/>
      <c r="AI363" s="532"/>
      <c r="AJ363" s="532"/>
    </row>
    <row r="364" spans="13:36" ht="12.95" customHeight="1" x14ac:dyDescent="0.2">
      <c r="M364" s="532"/>
      <c r="N364" s="532"/>
      <c r="O364" s="532"/>
      <c r="P364" s="90"/>
      <c r="Q364" s="532"/>
      <c r="R364" s="219"/>
      <c r="S364" s="532"/>
      <c r="T364" s="90"/>
      <c r="U364" s="532"/>
      <c r="V364" s="532"/>
      <c r="W364" s="532"/>
      <c r="X364" s="532"/>
      <c r="Y364" s="532"/>
      <c r="Z364" s="532"/>
      <c r="AA364" s="532"/>
      <c r="AB364" s="532"/>
      <c r="AC364" s="532"/>
      <c r="AD364" s="532"/>
      <c r="AE364" s="532"/>
      <c r="AF364" s="532"/>
      <c r="AG364" s="532"/>
      <c r="AH364" s="532"/>
      <c r="AI364" s="532"/>
      <c r="AJ364" s="532"/>
    </row>
    <row r="365" spans="13:36" ht="12.95" customHeight="1" x14ac:dyDescent="0.2">
      <c r="M365" s="532"/>
      <c r="N365" s="532"/>
      <c r="O365" s="532"/>
      <c r="P365" s="90"/>
      <c r="Q365" s="532"/>
      <c r="R365" s="219"/>
      <c r="S365" s="532"/>
      <c r="T365" s="90"/>
      <c r="U365" s="532"/>
      <c r="V365" s="532"/>
      <c r="W365" s="532"/>
      <c r="X365" s="532"/>
      <c r="Y365" s="532"/>
      <c r="Z365" s="532"/>
      <c r="AA365" s="532"/>
      <c r="AB365" s="532"/>
      <c r="AC365" s="532"/>
      <c r="AD365" s="532"/>
      <c r="AE365" s="532"/>
      <c r="AF365" s="532"/>
      <c r="AG365" s="532"/>
      <c r="AH365" s="532"/>
      <c r="AI365" s="532"/>
      <c r="AJ365" s="532"/>
    </row>
    <row r="366" spans="13:36" ht="12.95" customHeight="1" x14ac:dyDescent="0.2">
      <c r="M366" s="532"/>
      <c r="N366" s="532"/>
      <c r="O366" s="532"/>
      <c r="P366" s="90"/>
      <c r="Q366" s="532"/>
      <c r="R366" s="219"/>
      <c r="S366" s="532"/>
      <c r="T366" s="90"/>
      <c r="U366" s="532"/>
      <c r="V366" s="532"/>
      <c r="W366" s="532"/>
      <c r="X366" s="532"/>
      <c r="Y366" s="532"/>
      <c r="Z366" s="532"/>
      <c r="AA366" s="532"/>
      <c r="AB366" s="532"/>
      <c r="AC366" s="532"/>
      <c r="AD366" s="532"/>
      <c r="AE366" s="532"/>
      <c r="AF366" s="532"/>
      <c r="AG366" s="532"/>
      <c r="AH366" s="532"/>
      <c r="AI366" s="532"/>
      <c r="AJ366" s="532"/>
    </row>
    <row r="367" spans="13:36" ht="12.95" customHeight="1" x14ac:dyDescent="0.2">
      <c r="M367" s="532"/>
      <c r="N367" s="532"/>
      <c r="O367" s="532"/>
      <c r="P367" s="90"/>
      <c r="Q367" s="532"/>
      <c r="R367" s="219"/>
      <c r="S367" s="532"/>
      <c r="T367" s="90"/>
      <c r="U367" s="532"/>
      <c r="V367" s="532"/>
      <c r="W367" s="532"/>
      <c r="X367" s="532"/>
      <c r="Y367" s="532"/>
      <c r="Z367" s="532"/>
      <c r="AA367" s="532"/>
      <c r="AB367" s="532"/>
      <c r="AC367" s="532"/>
      <c r="AD367" s="532"/>
      <c r="AE367" s="532"/>
      <c r="AF367" s="532"/>
      <c r="AG367" s="532"/>
      <c r="AH367" s="532"/>
      <c r="AI367" s="532"/>
      <c r="AJ367" s="532"/>
    </row>
    <row r="368" spans="13:36" ht="12.95" customHeight="1" x14ac:dyDescent="0.2">
      <c r="M368" s="532"/>
      <c r="N368" s="532"/>
      <c r="O368" s="532"/>
      <c r="P368" s="90"/>
      <c r="Q368" s="532"/>
      <c r="R368" s="219"/>
      <c r="S368" s="532"/>
      <c r="T368" s="90"/>
      <c r="U368" s="532"/>
      <c r="V368" s="532"/>
      <c r="W368" s="532"/>
      <c r="X368" s="532"/>
      <c r="Y368" s="532"/>
      <c r="Z368" s="532"/>
      <c r="AA368" s="532"/>
      <c r="AB368" s="532"/>
      <c r="AC368" s="532"/>
      <c r="AD368" s="532"/>
      <c r="AE368" s="532"/>
      <c r="AF368" s="532"/>
      <c r="AG368" s="532"/>
      <c r="AH368" s="532"/>
      <c r="AI368" s="532"/>
      <c r="AJ368" s="532"/>
    </row>
    <row r="369" spans="13:36" ht="12.95" customHeight="1" x14ac:dyDescent="0.2">
      <c r="M369" s="532"/>
      <c r="N369" s="532"/>
      <c r="O369" s="532"/>
      <c r="P369" s="90"/>
      <c r="Q369" s="532"/>
      <c r="R369" s="219"/>
      <c r="S369" s="532"/>
      <c r="T369" s="90"/>
      <c r="U369" s="532"/>
      <c r="V369" s="532"/>
      <c r="W369" s="532"/>
      <c r="X369" s="532"/>
      <c r="Y369" s="532"/>
      <c r="Z369" s="532"/>
      <c r="AA369" s="532"/>
      <c r="AB369" s="532"/>
      <c r="AC369" s="532"/>
      <c r="AD369" s="532"/>
      <c r="AE369" s="532"/>
      <c r="AF369" s="532"/>
      <c r="AG369" s="532"/>
      <c r="AH369" s="532"/>
      <c r="AI369" s="532"/>
      <c r="AJ369" s="532"/>
    </row>
    <row r="370" spans="13:36" ht="12.95" customHeight="1" x14ac:dyDescent="0.2">
      <c r="M370" s="532"/>
      <c r="N370" s="532"/>
      <c r="O370" s="532"/>
      <c r="P370" s="90"/>
      <c r="Q370" s="532"/>
      <c r="R370" s="219"/>
      <c r="S370" s="532"/>
      <c r="T370" s="90"/>
      <c r="U370" s="532"/>
      <c r="V370" s="532"/>
      <c r="W370" s="532"/>
      <c r="X370" s="532"/>
      <c r="Y370" s="532"/>
      <c r="Z370" s="532"/>
      <c r="AA370" s="532"/>
      <c r="AB370" s="532"/>
      <c r="AC370" s="532"/>
      <c r="AD370" s="532"/>
      <c r="AE370" s="532"/>
      <c r="AF370" s="532"/>
      <c r="AG370" s="532"/>
      <c r="AH370" s="532"/>
      <c r="AI370" s="532"/>
      <c r="AJ370" s="532"/>
    </row>
    <row r="371" spans="13:36" ht="12.95" customHeight="1" x14ac:dyDescent="0.2">
      <c r="M371" s="532"/>
      <c r="N371" s="532"/>
      <c r="O371" s="532"/>
      <c r="P371" s="90"/>
      <c r="Q371" s="532"/>
      <c r="R371" s="219"/>
      <c r="S371" s="532"/>
      <c r="T371" s="90"/>
      <c r="U371" s="532"/>
      <c r="V371" s="532"/>
      <c r="W371" s="532"/>
      <c r="X371" s="532"/>
      <c r="Y371" s="532"/>
      <c r="Z371" s="532"/>
      <c r="AA371" s="532"/>
      <c r="AB371" s="532"/>
      <c r="AC371" s="532"/>
      <c r="AD371" s="532"/>
      <c r="AE371" s="532"/>
      <c r="AF371" s="532"/>
      <c r="AG371" s="532"/>
      <c r="AH371" s="532"/>
      <c r="AI371" s="532"/>
      <c r="AJ371" s="532"/>
    </row>
    <row r="372" spans="13:36" ht="12.95" customHeight="1" x14ac:dyDescent="0.2">
      <c r="M372" s="532"/>
      <c r="N372" s="532"/>
      <c r="O372" s="532"/>
      <c r="P372" s="90"/>
      <c r="Q372" s="532"/>
      <c r="R372" s="219"/>
      <c r="S372" s="532"/>
      <c r="T372" s="90"/>
      <c r="U372" s="532"/>
      <c r="V372" s="532"/>
      <c r="W372" s="532"/>
      <c r="X372" s="532"/>
      <c r="Y372" s="532"/>
      <c r="Z372" s="532"/>
      <c r="AA372" s="532"/>
      <c r="AB372" s="532"/>
      <c r="AC372" s="532"/>
      <c r="AD372" s="532"/>
      <c r="AE372" s="532"/>
      <c r="AF372" s="532"/>
      <c r="AG372" s="532"/>
      <c r="AH372" s="532"/>
      <c r="AI372" s="532"/>
      <c r="AJ372" s="532"/>
    </row>
    <row r="373" spans="13:36" ht="12.95" customHeight="1" x14ac:dyDescent="0.2">
      <c r="M373" s="532"/>
      <c r="N373" s="532"/>
      <c r="O373" s="532"/>
      <c r="P373" s="90"/>
      <c r="Q373" s="532"/>
      <c r="R373" s="219"/>
      <c r="S373" s="532"/>
      <c r="T373" s="90"/>
      <c r="U373" s="532"/>
      <c r="V373" s="532"/>
      <c r="W373" s="532"/>
      <c r="X373" s="532"/>
      <c r="Y373" s="532"/>
      <c r="Z373" s="532"/>
      <c r="AA373" s="532"/>
      <c r="AB373" s="532"/>
      <c r="AC373" s="532"/>
      <c r="AD373" s="532"/>
      <c r="AE373" s="532"/>
      <c r="AF373" s="532"/>
      <c r="AG373" s="532"/>
      <c r="AH373" s="532"/>
      <c r="AI373" s="532"/>
      <c r="AJ373" s="532"/>
    </row>
    <row r="374" spans="13:36" ht="12.95" customHeight="1" x14ac:dyDescent="0.2">
      <c r="M374" s="532"/>
      <c r="N374" s="532"/>
      <c r="O374" s="532"/>
      <c r="P374" s="90"/>
      <c r="Q374" s="532"/>
      <c r="R374" s="219"/>
      <c r="S374" s="532"/>
      <c r="T374" s="90"/>
      <c r="U374" s="532"/>
      <c r="V374" s="532"/>
      <c r="W374" s="532"/>
      <c r="X374" s="532"/>
      <c r="Y374" s="532"/>
      <c r="Z374" s="532"/>
      <c r="AA374" s="532"/>
      <c r="AB374" s="532"/>
      <c r="AC374" s="532"/>
      <c r="AD374" s="532"/>
      <c r="AE374" s="532"/>
      <c r="AF374" s="532"/>
      <c r="AG374" s="532"/>
      <c r="AH374" s="532"/>
      <c r="AI374" s="532"/>
      <c r="AJ374" s="532"/>
    </row>
    <row r="375" spans="13:36" ht="12.95" customHeight="1" x14ac:dyDescent="0.2">
      <c r="M375" s="532"/>
      <c r="N375" s="532"/>
      <c r="O375" s="532"/>
      <c r="P375" s="90"/>
      <c r="Q375" s="532"/>
      <c r="R375" s="219"/>
      <c r="S375" s="532"/>
      <c r="T375" s="90"/>
      <c r="U375" s="532"/>
      <c r="V375" s="532"/>
      <c r="W375" s="532"/>
      <c r="X375" s="532"/>
      <c r="Y375" s="532"/>
      <c r="Z375" s="532"/>
      <c r="AA375" s="532"/>
      <c r="AB375" s="532"/>
      <c r="AC375" s="532"/>
      <c r="AD375" s="532"/>
      <c r="AE375" s="532"/>
      <c r="AF375" s="532"/>
      <c r="AG375" s="532"/>
      <c r="AH375" s="532"/>
      <c r="AI375" s="532"/>
      <c r="AJ375" s="532"/>
    </row>
    <row r="376" spans="13:36" ht="12.95" customHeight="1" x14ac:dyDescent="0.2">
      <c r="M376" s="532"/>
      <c r="N376" s="532"/>
      <c r="O376" s="532"/>
      <c r="P376" s="90"/>
      <c r="Q376" s="532"/>
      <c r="R376" s="219"/>
      <c r="S376" s="532"/>
      <c r="T376" s="90"/>
      <c r="U376" s="532"/>
      <c r="V376" s="532"/>
      <c r="W376" s="532"/>
      <c r="X376" s="532"/>
      <c r="Y376" s="532"/>
      <c r="Z376" s="532"/>
      <c r="AA376" s="532"/>
      <c r="AB376" s="532"/>
      <c r="AC376" s="532"/>
      <c r="AD376" s="532"/>
      <c r="AE376" s="532"/>
      <c r="AF376" s="532"/>
      <c r="AG376" s="532"/>
      <c r="AH376" s="532"/>
      <c r="AI376" s="532"/>
      <c r="AJ376" s="532"/>
    </row>
    <row r="377" spans="13:36" ht="12.95" customHeight="1" x14ac:dyDescent="0.2">
      <c r="M377" s="532"/>
      <c r="N377" s="532"/>
      <c r="O377" s="532"/>
      <c r="P377" s="90"/>
      <c r="Q377" s="532"/>
      <c r="R377" s="219"/>
      <c r="S377" s="532"/>
      <c r="T377" s="90"/>
      <c r="U377" s="532"/>
      <c r="V377" s="532"/>
      <c r="W377" s="532"/>
      <c r="X377" s="532"/>
      <c r="Y377" s="532"/>
      <c r="Z377" s="532"/>
      <c r="AA377" s="532"/>
      <c r="AB377" s="532"/>
      <c r="AC377" s="532"/>
      <c r="AD377" s="532"/>
      <c r="AE377" s="532"/>
      <c r="AF377" s="532"/>
      <c r="AG377" s="532"/>
      <c r="AH377" s="532"/>
      <c r="AI377" s="532"/>
      <c r="AJ377" s="532"/>
    </row>
    <row r="378" spans="13:36" ht="12.95" customHeight="1" x14ac:dyDescent="0.2">
      <c r="M378" s="532"/>
      <c r="N378" s="532"/>
      <c r="O378" s="532"/>
      <c r="P378" s="90"/>
      <c r="Q378" s="532"/>
      <c r="R378" s="219"/>
      <c r="S378" s="532"/>
      <c r="T378" s="90"/>
      <c r="U378" s="532"/>
      <c r="V378" s="532"/>
      <c r="W378" s="532"/>
      <c r="X378" s="532"/>
      <c r="Y378" s="532"/>
      <c r="Z378" s="532"/>
      <c r="AA378" s="532"/>
      <c r="AB378" s="532"/>
      <c r="AC378" s="532"/>
      <c r="AD378" s="532"/>
      <c r="AE378" s="532"/>
      <c r="AF378" s="532"/>
      <c r="AG378" s="532"/>
      <c r="AH378" s="532"/>
      <c r="AI378" s="532"/>
      <c r="AJ378" s="532"/>
    </row>
    <row r="379" spans="13:36" ht="12.95" customHeight="1" x14ac:dyDescent="0.2">
      <c r="M379" s="532"/>
      <c r="N379" s="532"/>
      <c r="O379" s="532"/>
      <c r="P379" s="90"/>
      <c r="Q379" s="532"/>
      <c r="R379" s="219"/>
      <c r="S379" s="532"/>
      <c r="T379" s="90"/>
      <c r="U379" s="532"/>
      <c r="V379" s="532"/>
      <c r="W379" s="532"/>
      <c r="X379" s="532"/>
      <c r="Y379" s="532"/>
      <c r="Z379" s="532"/>
      <c r="AA379" s="532"/>
      <c r="AB379" s="532"/>
      <c r="AC379" s="532"/>
      <c r="AD379" s="532"/>
      <c r="AE379" s="532"/>
      <c r="AF379" s="532"/>
      <c r="AG379" s="532"/>
      <c r="AH379" s="532"/>
      <c r="AI379" s="532"/>
      <c r="AJ379" s="532"/>
    </row>
    <row r="380" spans="13:36" ht="12.95" customHeight="1" x14ac:dyDescent="0.2">
      <c r="M380" s="532"/>
      <c r="N380" s="532"/>
      <c r="O380" s="532"/>
      <c r="P380" s="90"/>
      <c r="Q380" s="532"/>
      <c r="R380" s="219"/>
      <c r="S380" s="532"/>
      <c r="T380" s="90"/>
      <c r="U380" s="532"/>
      <c r="V380" s="532"/>
      <c r="W380" s="532"/>
      <c r="X380" s="532"/>
      <c r="Y380" s="532"/>
      <c r="Z380" s="532"/>
      <c r="AA380" s="532"/>
      <c r="AB380" s="532"/>
      <c r="AC380" s="532"/>
      <c r="AD380" s="532"/>
      <c r="AE380" s="532"/>
      <c r="AF380" s="532"/>
      <c r="AG380" s="532"/>
      <c r="AH380" s="532"/>
      <c r="AI380" s="532"/>
      <c r="AJ380" s="532"/>
    </row>
    <row r="381" spans="13:36" ht="12.95" customHeight="1" x14ac:dyDescent="0.2">
      <c r="M381" s="532"/>
      <c r="N381" s="532"/>
      <c r="O381" s="532"/>
      <c r="P381" s="90"/>
      <c r="Q381" s="532"/>
      <c r="R381" s="219"/>
      <c r="S381" s="532"/>
      <c r="T381" s="90"/>
      <c r="U381" s="532"/>
      <c r="V381" s="532"/>
      <c r="W381" s="532"/>
      <c r="X381" s="532"/>
      <c r="Y381" s="532"/>
      <c r="Z381" s="532"/>
      <c r="AA381" s="532"/>
      <c r="AB381" s="532"/>
      <c r="AC381" s="532"/>
      <c r="AD381" s="532"/>
      <c r="AE381" s="532"/>
      <c r="AF381" s="532"/>
      <c r="AG381" s="532"/>
      <c r="AH381" s="532"/>
      <c r="AI381" s="532"/>
      <c r="AJ381" s="532"/>
    </row>
    <row r="382" spans="13:36" ht="12.95" customHeight="1" x14ac:dyDescent="0.2">
      <c r="M382" s="532"/>
      <c r="N382" s="532"/>
      <c r="O382" s="532"/>
      <c r="P382" s="90"/>
      <c r="Q382" s="532"/>
      <c r="R382" s="219"/>
      <c r="S382" s="532"/>
      <c r="T382" s="90"/>
      <c r="U382" s="532"/>
      <c r="V382" s="532"/>
      <c r="W382" s="532"/>
      <c r="X382" s="532"/>
      <c r="Y382" s="532"/>
      <c r="Z382" s="532"/>
      <c r="AA382" s="532"/>
      <c r="AB382" s="532"/>
      <c r="AC382" s="532"/>
      <c r="AD382" s="532"/>
      <c r="AE382" s="532"/>
      <c r="AF382" s="532"/>
      <c r="AG382" s="532"/>
      <c r="AH382" s="532"/>
      <c r="AI382" s="532"/>
      <c r="AJ382" s="532"/>
    </row>
    <row r="383" spans="13:36" ht="12.95" customHeight="1" x14ac:dyDescent="0.2">
      <c r="M383" s="532"/>
      <c r="N383" s="532"/>
      <c r="O383" s="532"/>
      <c r="P383" s="90"/>
      <c r="Q383" s="532"/>
      <c r="R383" s="219"/>
      <c r="S383" s="532"/>
      <c r="T383" s="90"/>
      <c r="U383" s="532"/>
      <c r="V383" s="532"/>
      <c r="W383" s="532"/>
      <c r="X383" s="532"/>
      <c r="Y383" s="532"/>
      <c r="Z383" s="532"/>
      <c r="AA383" s="532"/>
      <c r="AB383" s="532"/>
      <c r="AC383" s="532"/>
      <c r="AD383" s="532"/>
      <c r="AE383" s="532"/>
      <c r="AF383" s="532"/>
      <c r="AG383" s="532"/>
      <c r="AH383" s="532"/>
      <c r="AI383" s="532"/>
      <c r="AJ383" s="532"/>
    </row>
    <row r="384" spans="13:36" ht="12.95" customHeight="1" x14ac:dyDescent="0.2">
      <c r="M384" s="532"/>
      <c r="N384" s="532"/>
      <c r="O384" s="532"/>
      <c r="P384" s="90"/>
      <c r="Q384" s="532"/>
      <c r="R384" s="219"/>
      <c r="S384" s="532"/>
      <c r="T384" s="90"/>
      <c r="U384" s="532"/>
      <c r="V384" s="532"/>
      <c r="W384" s="532"/>
      <c r="X384" s="532"/>
      <c r="Y384" s="532"/>
      <c r="Z384" s="532"/>
      <c r="AA384" s="532"/>
      <c r="AB384" s="532"/>
      <c r="AC384" s="532"/>
      <c r="AD384" s="532"/>
      <c r="AE384" s="532"/>
      <c r="AF384" s="532"/>
      <c r="AG384" s="532"/>
      <c r="AH384" s="532"/>
      <c r="AI384" s="532"/>
      <c r="AJ384" s="532"/>
    </row>
    <row r="385" spans="13:36" ht="12.95" customHeight="1" x14ac:dyDescent="0.2">
      <c r="M385" s="532"/>
      <c r="N385" s="532"/>
      <c r="O385" s="532"/>
      <c r="P385" s="90"/>
      <c r="Q385" s="532"/>
      <c r="R385" s="219"/>
      <c r="S385" s="532"/>
      <c r="T385" s="90"/>
      <c r="U385" s="532"/>
      <c r="V385" s="532"/>
      <c r="W385" s="532"/>
      <c r="X385" s="532"/>
      <c r="Y385" s="532"/>
      <c r="Z385" s="532"/>
      <c r="AA385" s="532"/>
      <c r="AB385" s="532"/>
      <c r="AC385" s="532"/>
      <c r="AD385" s="532"/>
      <c r="AE385" s="532"/>
      <c r="AF385" s="532"/>
      <c r="AG385" s="532"/>
      <c r="AH385" s="532"/>
      <c r="AI385" s="532"/>
      <c r="AJ385" s="532"/>
    </row>
    <row r="386" spans="13:36" ht="12.95" customHeight="1" x14ac:dyDescent="0.2">
      <c r="M386" s="532"/>
      <c r="N386" s="532"/>
      <c r="O386" s="532"/>
      <c r="P386" s="90"/>
      <c r="Q386" s="532"/>
      <c r="R386" s="219"/>
      <c r="S386" s="532"/>
      <c r="T386" s="90"/>
      <c r="U386" s="532"/>
      <c r="V386" s="532"/>
      <c r="W386" s="532"/>
      <c r="X386" s="532"/>
      <c r="Y386" s="532"/>
      <c r="Z386" s="532"/>
      <c r="AA386" s="532"/>
      <c r="AB386" s="532"/>
      <c r="AC386" s="532"/>
      <c r="AD386" s="532"/>
      <c r="AE386" s="532"/>
      <c r="AF386" s="532"/>
      <c r="AG386" s="532"/>
      <c r="AH386" s="532"/>
      <c r="AI386" s="532"/>
      <c r="AJ386" s="532"/>
    </row>
    <row r="387" spans="13:36" ht="12.95" customHeight="1" x14ac:dyDescent="0.2">
      <c r="M387" s="532"/>
      <c r="N387" s="532"/>
      <c r="O387" s="532"/>
      <c r="P387" s="90"/>
      <c r="Q387" s="532"/>
      <c r="R387" s="219"/>
      <c r="S387" s="532"/>
      <c r="T387" s="90"/>
      <c r="U387" s="532"/>
      <c r="V387" s="532"/>
      <c r="W387" s="532"/>
      <c r="X387" s="532"/>
      <c r="Y387" s="532"/>
      <c r="Z387" s="532"/>
      <c r="AA387" s="532"/>
      <c r="AB387" s="532"/>
      <c r="AC387" s="532"/>
      <c r="AD387" s="532"/>
      <c r="AE387" s="532"/>
      <c r="AF387" s="532"/>
      <c r="AG387" s="532"/>
      <c r="AH387" s="532"/>
      <c r="AI387" s="532"/>
      <c r="AJ387" s="532"/>
    </row>
    <row r="388" spans="13:36" ht="12.95" customHeight="1" x14ac:dyDescent="0.2">
      <c r="M388" s="532"/>
      <c r="N388" s="532"/>
      <c r="O388" s="532"/>
      <c r="P388" s="90"/>
      <c r="Q388" s="532"/>
      <c r="R388" s="219"/>
      <c r="S388" s="532"/>
      <c r="T388" s="90"/>
      <c r="U388" s="532"/>
      <c r="V388" s="532"/>
      <c r="W388" s="532"/>
      <c r="X388" s="532"/>
      <c r="Y388" s="532"/>
      <c r="Z388" s="532"/>
      <c r="AA388" s="532"/>
      <c r="AB388" s="532"/>
      <c r="AC388" s="532"/>
      <c r="AD388" s="532"/>
      <c r="AE388" s="532"/>
      <c r="AF388" s="532"/>
      <c r="AG388" s="532"/>
      <c r="AH388" s="532"/>
      <c r="AI388" s="532"/>
      <c r="AJ388" s="532"/>
    </row>
    <row r="389" spans="13:36" ht="12.95" customHeight="1" x14ac:dyDescent="0.2">
      <c r="M389" s="532"/>
      <c r="N389" s="532"/>
      <c r="O389" s="532"/>
      <c r="P389" s="90"/>
      <c r="Q389" s="532"/>
      <c r="R389" s="219"/>
      <c r="S389" s="532"/>
      <c r="T389" s="90"/>
      <c r="U389" s="532"/>
      <c r="V389" s="532"/>
      <c r="W389" s="532"/>
      <c r="X389" s="532"/>
      <c r="Y389" s="532"/>
      <c r="Z389" s="532"/>
      <c r="AA389" s="532"/>
      <c r="AB389" s="532"/>
      <c r="AC389" s="532"/>
      <c r="AD389" s="532"/>
      <c r="AE389" s="532"/>
      <c r="AF389" s="532"/>
      <c r="AG389" s="532"/>
      <c r="AH389" s="532"/>
      <c r="AI389" s="532"/>
      <c r="AJ389" s="532"/>
    </row>
    <row r="390" spans="13:36" ht="12.95" customHeight="1" x14ac:dyDescent="0.2">
      <c r="M390" s="532"/>
      <c r="N390" s="532"/>
      <c r="O390" s="532"/>
      <c r="P390" s="90"/>
      <c r="Q390" s="532"/>
      <c r="R390" s="219"/>
      <c r="S390" s="532"/>
      <c r="T390" s="90"/>
      <c r="U390" s="532"/>
      <c r="V390" s="532"/>
      <c r="W390" s="532"/>
      <c r="X390" s="532"/>
      <c r="Y390" s="532"/>
      <c r="Z390" s="532"/>
      <c r="AA390" s="532"/>
      <c r="AB390" s="532"/>
      <c r="AC390" s="532"/>
      <c r="AD390" s="532"/>
      <c r="AE390" s="532"/>
      <c r="AF390" s="532"/>
      <c r="AG390" s="532"/>
      <c r="AH390" s="532"/>
      <c r="AI390" s="532"/>
      <c r="AJ390" s="532"/>
    </row>
    <row r="391" spans="13:36" ht="12.95" customHeight="1" x14ac:dyDescent="0.2">
      <c r="M391" s="532"/>
      <c r="N391" s="532"/>
      <c r="O391" s="532"/>
      <c r="P391" s="90"/>
      <c r="Q391" s="532"/>
      <c r="R391" s="219"/>
      <c r="S391" s="532"/>
      <c r="T391" s="90"/>
      <c r="U391" s="532"/>
      <c r="V391" s="532"/>
      <c r="W391" s="532"/>
      <c r="X391" s="532"/>
      <c r="Y391" s="532"/>
      <c r="Z391" s="532"/>
      <c r="AA391" s="532"/>
      <c r="AB391" s="532"/>
      <c r="AC391" s="532"/>
      <c r="AD391" s="532"/>
      <c r="AE391" s="532"/>
      <c r="AF391" s="532"/>
      <c r="AG391" s="532"/>
      <c r="AH391" s="532"/>
      <c r="AI391" s="532"/>
      <c r="AJ391" s="532"/>
    </row>
    <row r="392" spans="13:36" ht="12.95" customHeight="1" x14ac:dyDescent="0.2">
      <c r="M392" s="532"/>
      <c r="N392" s="532"/>
      <c r="O392" s="532"/>
      <c r="P392" s="90"/>
      <c r="Q392" s="532"/>
      <c r="R392" s="219"/>
      <c r="S392" s="532"/>
      <c r="T392" s="90"/>
      <c r="U392" s="532"/>
      <c r="V392" s="532"/>
      <c r="W392" s="532"/>
      <c r="X392" s="532"/>
      <c r="Y392" s="532"/>
      <c r="Z392" s="532"/>
      <c r="AA392" s="532"/>
      <c r="AB392" s="532"/>
      <c r="AC392" s="532"/>
      <c r="AD392" s="532"/>
      <c r="AE392" s="532"/>
      <c r="AF392" s="532"/>
      <c r="AG392" s="532"/>
      <c r="AH392" s="532"/>
      <c r="AI392" s="532"/>
      <c r="AJ392" s="532"/>
    </row>
    <row r="393" spans="13:36" ht="12.95" customHeight="1" x14ac:dyDescent="0.2">
      <c r="M393" s="532"/>
      <c r="N393" s="532"/>
      <c r="O393" s="532"/>
      <c r="P393" s="90"/>
      <c r="Q393" s="532"/>
      <c r="R393" s="219"/>
      <c r="S393" s="532"/>
      <c r="T393" s="90"/>
      <c r="U393" s="532"/>
      <c r="V393" s="532"/>
      <c r="W393" s="532"/>
      <c r="X393" s="532"/>
      <c r="Y393" s="532"/>
      <c r="Z393" s="532"/>
      <c r="AA393" s="532"/>
      <c r="AB393" s="532"/>
      <c r="AC393" s="532"/>
      <c r="AD393" s="532"/>
      <c r="AE393" s="532"/>
      <c r="AF393" s="532"/>
      <c r="AG393" s="532"/>
      <c r="AH393" s="532"/>
      <c r="AI393" s="532"/>
      <c r="AJ393" s="532"/>
    </row>
    <row r="394" spans="13:36" ht="12.95" customHeight="1" x14ac:dyDescent="0.2">
      <c r="M394" s="532"/>
      <c r="N394" s="532"/>
      <c r="O394" s="532"/>
      <c r="P394" s="90"/>
      <c r="Q394" s="532"/>
      <c r="R394" s="219"/>
      <c r="S394" s="532"/>
      <c r="T394" s="90"/>
      <c r="U394" s="532"/>
      <c r="V394" s="532"/>
      <c r="W394" s="532"/>
      <c r="X394" s="532"/>
      <c r="Y394" s="532"/>
      <c r="Z394" s="532"/>
      <c r="AA394" s="532"/>
      <c r="AB394" s="532"/>
      <c r="AC394" s="532"/>
      <c r="AD394" s="532"/>
      <c r="AE394" s="532"/>
      <c r="AF394" s="532"/>
      <c r="AG394" s="532"/>
      <c r="AH394" s="532"/>
      <c r="AI394" s="532"/>
      <c r="AJ394" s="532"/>
    </row>
    <row r="395" spans="13:36" ht="12.95" customHeight="1" x14ac:dyDescent="0.2">
      <c r="M395" s="532"/>
      <c r="N395" s="532"/>
      <c r="O395" s="532"/>
      <c r="P395" s="90"/>
      <c r="Q395" s="532"/>
      <c r="R395" s="219"/>
      <c r="S395" s="532"/>
      <c r="T395" s="90"/>
      <c r="U395" s="532"/>
      <c r="V395" s="532"/>
      <c r="W395" s="532"/>
      <c r="X395" s="532"/>
      <c r="Y395" s="532"/>
      <c r="Z395" s="532"/>
      <c r="AA395" s="532"/>
      <c r="AB395" s="532"/>
      <c r="AC395" s="532"/>
      <c r="AD395" s="532"/>
      <c r="AE395" s="532"/>
      <c r="AF395" s="532"/>
      <c r="AG395" s="532"/>
      <c r="AH395" s="532"/>
      <c r="AI395" s="532"/>
      <c r="AJ395" s="532"/>
    </row>
    <row r="396" spans="13:36" ht="12.95" customHeight="1" x14ac:dyDescent="0.2">
      <c r="M396" s="532"/>
      <c r="N396" s="532"/>
      <c r="O396" s="532"/>
      <c r="P396" s="90"/>
      <c r="Q396" s="532"/>
      <c r="R396" s="219"/>
      <c r="S396" s="532"/>
      <c r="T396" s="90"/>
      <c r="U396" s="532"/>
      <c r="V396" s="532"/>
      <c r="W396" s="532"/>
      <c r="X396" s="532"/>
      <c r="Y396" s="532"/>
      <c r="Z396" s="532"/>
      <c r="AA396" s="532"/>
      <c r="AB396" s="532"/>
      <c r="AC396" s="532"/>
      <c r="AD396" s="532"/>
      <c r="AE396" s="532"/>
      <c r="AF396" s="532"/>
      <c r="AG396" s="532"/>
      <c r="AH396" s="532"/>
      <c r="AI396" s="532"/>
      <c r="AJ396" s="532"/>
    </row>
    <row r="397" spans="13:36" ht="12.95" customHeight="1" x14ac:dyDescent="0.2">
      <c r="M397" s="532"/>
      <c r="N397" s="532"/>
      <c r="O397" s="532"/>
      <c r="P397" s="90"/>
      <c r="Q397" s="532"/>
      <c r="R397" s="219"/>
      <c r="S397" s="532"/>
      <c r="T397" s="90"/>
      <c r="U397" s="532"/>
      <c r="V397" s="532"/>
      <c r="W397" s="532"/>
      <c r="X397" s="532"/>
      <c r="Y397" s="532"/>
      <c r="Z397" s="532"/>
      <c r="AA397" s="532"/>
      <c r="AB397" s="532"/>
      <c r="AC397" s="532"/>
      <c r="AD397" s="532"/>
      <c r="AE397" s="532"/>
      <c r="AF397" s="532"/>
      <c r="AG397" s="532"/>
      <c r="AH397" s="532"/>
      <c r="AI397" s="532"/>
      <c r="AJ397" s="532"/>
    </row>
    <row r="398" spans="13:36" ht="12.95" customHeight="1" x14ac:dyDescent="0.2">
      <c r="M398" s="532"/>
      <c r="N398" s="532"/>
      <c r="O398" s="532"/>
      <c r="P398" s="90"/>
      <c r="Q398" s="532"/>
      <c r="R398" s="219"/>
      <c r="S398" s="532"/>
      <c r="T398" s="90"/>
      <c r="U398" s="532"/>
      <c r="V398" s="532"/>
      <c r="W398" s="532"/>
      <c r="X398" s="532"/>
      <c r="Y398" s="532"/>
      <c r="Z398" s="532"/>
      <c r="AA398" s="532"/>
      <c r="AB398" s="532"/>
      <c r="AC398" s="532"/>
      <c r="AD398" s="532"/>
      <c r="AE398" s="532"/>
      <c r="AF398" s="532"/>
      <c r="AG398" s="532"/>
      <c r="AH398" s="532"/>
      <c r="AI398" s="532"/>
      <c r="AJ398" s="532"/>
    </row>
    <row r="399" spans="13:36" ht="12.95" customHeight="1" x14ac:dyDescent="0.2">
      <c r="M399" s="532"/>
      <c r="N399" s="532"/>
      <c r="O399" s="532"/>
      <c r="P399" s="90"/>
      <c r="Q399" s="532"/>
      <c r="R399" s="219"/>
      <c r="S399" s="532"/>
      <c r="T399" s="90"/>
      <c r="U399" s="532"/>
      <c r="V399" s="532"/>
      <c r="W399" s="532"/>
      <c r="X399" s="532"/>
      <c r="Y399" s="532"/>
      <c r="Z399" s="532"/>
      <c r="AA399" s="532"/>
      <c r="AB399" s="532"/>
      <c r="AC399" s="532"/>
      <c r="AD399" s="532"/>
      <c r="AE399" s="532"/>
      <c r="AF399" s="532"/>
      <c r="AG399" s="532"/>
      <c r="AH399" s="532"/>
      <c r="AI399" s="532"/>
      <c r="AJ399" s="532"/>
    </row>
    <row r="400" spans="13:36" ht="12.95" customHeight="1" x14ac:dyDescent="0.2">
      <c r="M400" s="532"/>
      <c r="N400" s="532"/>
      <c r="O400" s="532"/>
      <c r="P400" s="90"/>
      <c r="Q400" s="532"/>
      <c r="R400" s="219"/>
      <c r="S400" s="532"/>
      <c r="T400" s="90"/>
      <c r="U400" s="532"/>
      <c r="V400" s="532"/>
      <c r="W400" s="532"/>
      <c r="X400" s="532"/>
      <c r="Y400" s="532"/>
      <c r="Z400" s="532"/>
      <c r="AA400" s="532"/>
      <c r="AB400" s="532"/>
      <c r="AC400" s="532"/>
      <c r="AD400" s="532"/>
      <c r="AE400" s="532"/>
      <c r="AF400" s="532"/>
      <c r="AG400" s="532"/>
      <c r="AH400" s="532"/>
      <c r="AI400" s="532"/>
      <c r="AJ400" s="532"/>
    </row>
    <row r="401" spans="13:36" ht="12.95" customHeight="1" x14ac:dyDescent="0.2">
      <c r="M401" s="532"/>
      <c r="N401" s="532"/>
      <c r="O401" s="532"/>
      <c r="P401" s="90"/>
      <c r="Q401" s="532"/>
      <c r="R401" s="219"/>
      <c r="S401" s="532"/>
      <c r="T401" s="90"/>
      <c r="U401" s="532"/>
      <c r="V401" s="532"/>
      <c r="W401" s="532"/>
      <c r="X401" s="532"/>
      <c r="Y401" s="532"/>
      <c r="Z401" s="532"/>
      <c r="AA401" s="532"/>
      <c r="AB401" s="532"/>
      <c r="AC401" s="532"/>
      <c r="AD401" s="532"/>
      <c r="AE401" s="532"/>
      <c r="AF401" s="532"/>
      <c r="AG401" s="532"/>
      <c r="AH401" s="532"/>
      <c r="AI401" s="532"/>
      <c r="AJ401" s="532"/>
    </row>
    <row r="402" spans="13:36" ht="12.95" customHeight="1" x14ac:dyDescent="0.2">
      <c r="M402" s="532"/>
      <c r="N402" s="532"/>
      <c r="O402" s="532"/>
      <c r="P402" s="90"/>
      <c r="Q402" s="532"/>
      <c r="R402" s="219"/>
      <c r="S402" s="532"/>
      <c r="T402" s="90"/>
      <c r="U402" s="532"/>
      <c r="V402" s="532"/>
      <c r="W402" s="532"/>
      <c r="X402" s="532"/>
      <c r="Y402" s="532"/>
      <c r="Z402" s="532"/>
      <c r="AA402" s="532"/>
      <c r="AB402" s="532"/>
      <c r="AC402" s="532"/>
      <c r="AD402" s="532"/>
      <c r="AE402" s="532"/>
      <c r="AF402" s="532"/>
      <c r="AG402" s="532"/>
      <c r="AH402" s="532"/>
      <c r="AI402" s="532"/>
      <c r="AJ402" s="532"/>
    </row>
    <row r="403" spans="13:36" ht="12.95" customHeight="1" x14ac:dyDescent="0.2">
      <c r="M403" s="532"/>
      <c r="N403" s="532"/>
      <c r="O403" s="532"/>
      <c r="P403" s="90"/>
      <c r="Q403" s="532"/>
      <c r="R403" s="219"/>
      <c r="S403" s="532"/>
      <c r="T403" s="90"/>
      <c r="U403" s="532"/>
      <c r="V403" s="532"/>
      <c r="W403" s="532"/>
      <c r="X403" s="532"/>
      <c r="Y403" s="532"/>
      <c r="Z403" s="532"/>
      <c r="AA403" s="532"/>
      <c r="AB403" s="532"/>
      <c r="AC403" s="532"/>
      <c r="AD403" s="532"/>
      <c r="AE403" s="532"/>
      <c r="AF403" s="532"/>
      <c r="AG403" s="532"/>
      <c r="AH403" s="532"/>
      <c r="AI403" s="532"/>
      <c r="AJ403" s="532"/>
    </row>
    <row r="404" spans="13:36" ht="12.95" customHeight="1" x14ac:dyDescent="0.2">
      <c r="M404" s="532"/>
      <c r="N404" s="532"/>
      <c r="O404" s="532"/>
      <c r="P404" s="90"/>
      <c r="Q404" s="532"/>
      <c r="R404" s="219"/>
      <c r="S404" s="532"/>
      <c r="T404" s="90"/>
      <c r="U404" s="532"/>
      <c r="V404" s="532"/>
      <c r="W404" s="532"/>
      <c r="X404" s="532"/>
      <c r="Y404" s="532"/>
      <c r="Z404" s="532"/>
      <c r="AA404" s="532"/>
      <c r="AB404" s="532"/>
      <c r="AC404" s="532"/>
      <c r="AD404" s="532"/>
      <c r="AE404" s="532"/>
      <c r="AF404" s="532"/>
      <c r="AG404" s="532"/>
      <c r="AH404" s="532"/>
      <c r="AI404" s="532"/>
      <c r="AJ404" s="532"/>
    </row>
    <row r="405" spans="13:36" ht="12.95" customHeight="1" x14ac:dyDescent="0.2">
      <c r="M405" s="532"/>
      <c r="N405" s="532"/>
      <c r="O405" s="532"/>
      <c r="P405" s="90"/>
      <c r="Q405" s="532"/>
      <c r="R405" s="219"/>
      <c r="S405" s="532"/>
      <c r="T405" s="90"/>
      <c r="U405" s="532"/>
      <c r="V405" s="532"/>
      <c r="W405" s="532"/>
      <c r="X405" s="532"/>
      <c r="Y405" s="532"/>
      <c r="Z405" s="532"/>
      <c r="AA405" s="532"/>
      <c r="AB405" s="532"/>
      <c r="AC405" s="532"/>
      <c r="AD405" s="532"/>
      <c r="AE405" s="532"/>
      <c r="AF405" s="532"/>
      <c r="AG405" s="532"/>
      <c r="AH405" s="532"/>
      <c r="AI405" s="532"/>
      <c r="AJ405" s="532"/>
    </row>
    <row r="406" spans="13:36" ht="12.95" customHeight="1" x14ac:dyDescent="0.2">
      <c r="M406" s="532"/>
      <c r="N406" s="532"/>
      <c r="O406" s="532"/>
      <c r="P406" s="90"/>
      <c r="Q406" s="532"/>
      <c r="R406" s="219"/>
      <c r="S406" s="532"/>
      <c r="T406" s="90"/>
      <c r="U406" s="532"/>
      <c r="V406" s="532"/>
      <c r="W406" s="532"/>
      <c r="X406" s="532"/>
      <c r="Y406" s="532"/>
      <c r="Z406" s="532"/>
      <c r="AA406" s="532"/>
      <c r="AB406" s="532"/>
      <c r="AC406" s="532"/>
      <c r="AD406" s="532"/>
      <c r="AE406" s="532"/>
      <c r="AF406" s="532"/>
      <c r="AG406" s="532"/>
      <c r="AH406" s="532"/>
      <c r="AI406" s="532"/>
      <c r="AJ406" s="532"/>
    </row>
    <row r="407" spans="13:36" ht="12.95" customHeight="1" x14ac:dyDescent="0.2">
      <c r="M407" s="532"/>
      <c r="N407" s="532"/>
      <c r="O407" s="532"/>
      <c r="P407" s="90"/>
      <c r="Q407" s="532"/>
      <c r="R407" s="219"/>
      <c r="S407" s="532"/>
      <c r="T407" s="90"/>
      <c r="U407" s="532"/>
      <c r="V407" s="532"/>
      <c r="W407" s="532"/>
      <c r="X407" s="532"/>
      <c r="Y407" s="532"/>
      <c r="Z407" s="532"/>
      <c r="AA407" s="532"/>
      <c r="AB407" s="532"/>
      <c r="AC407" s="532"/>
      <c r="AD407" s="532"/>
      <c r="AE407" s="532"/>
      <c r="AF407" s="532"/>
      <c r="AG407" s="532"/>
      <c r="AH407" s="532"/>
      <c r="AI407" s="532"/>
      <c r="AJ407" s="532"/>
    </row>
    <row r="408" spans="13:36" ht="12.95" customHeight="1" x14ac:dyDescent="0.2">
      <c r="M408" s="532"/>
      <c r="N408" s="532"/>
      <c r="O408" s="532"/>
      <c r="P408" s="90"/>
      <c r="Q408" s="532"/>
      <c r="R408" s="219"/>
      <c r="S408" s="532"/>
      <c r="T408" s="90"/>
      <c r="U408" s="532"/>
      <c r="V408" s="532"/>
      <c r="W408" s="532"/>
      <c r="X408" s="532"/>
      <c r="Y408" s="532"/>
      <c r="Z408" s="532"/>
      <c r="AA408" s="532"/>
      <c r="AB408" s="532"/>
      <c r="AC408" s="532"/>
      <c r="AD408" s="532"/>
      <c r="AE408" s="532"/>
      <c r="AF408" s="532"/>
      <c r="AG408" s="532"/>
      <c r="AH408" s="532"/>
      <c r="AI408" s="532"/>
      <c r="AJ408" s="532"/>
    </row>
    <row r="409" spans="13:36" ht="12.95" customHeight="1" x14ac:dyDescent="0.2">
      <c r="M409" s="532"/>
      <c r="N409" s="532"/>
      <c r="O409" s="532"/>
      <c r="P409" s="90"/>
      <c r="Q409" s="532"/>
      <c r="R409" s="219"/>
      <c r="S409" s="532"/>
      <c r="T409" s="90"/>
      <c r="U409" s="532"/>
      <c r="V409" s="532"/>
      <c r="W409" s="532"/>
      <c r="X409" s="532"/>
      <c r="Y409" s="532"/>
      <c r="Z409" s="532"/>
      <c r="AA409" s="532"/>
      <c r="AB409" s="532"/>
      <c r="AC409" s="532"/>
      <c r="AD409" s="532"/>
      <c r="AE409" s="532"/>
      <c r="AF409" s="532"/>
      <c r="AG409" s="532"/>
      <c r="AH409" s="532"/>
      <c r="AI409" s="532"/>
      <c r="AJ409" s="532"/>
    </row>
    <row r="410" spans="13:36" ht="12.95" customHeight="1" x14ac:dyDescent="0.2">
      <c r="M410" s="532"/>
      <c r="N410" s="532"/>
      <c r="O410" s="532"/>
      <c r="P410" s="90"/>
      <c r="Q410" s="532"/>
      <c r="R410" s="219"/>
      <c r="S410" s="532"/>
      <c r="T410" s="90"/>
      <c r="U410" s="532"/>
      <c r="V410" s="532"/>
      <c r="W410" s="532"/>
      <c r="X410" s="532"/>
      <c r="Y410" s="532"/>
      <c r="Z410" s="532"/>
      <c r="AA410" s="532"/>
      <c r="AB410" s="532"/>
      <c r="AC410" s="532"/>
      <c r="AD410" s="532"/>
      <c r="AE410" s="532"/>
      <c r="AF410" s="532"/>
      <c r="AG410" s="532"/>
      <c r="AH410" s="532"/>
      <c r="AI410" s="532"/>
      <c r="AJ410" s="532"/>
    </row>
    <row r="411" spans="13:36" ht="12.95" customHeight="1" x14ac:dyDescent="0.2">
      <c r="M411" s="532"/>
      <c r="N411" s="532"/>
      <c r="O411" s="532"/>
      <c r="P411" s="90"/>
      <c r="Q411" s="532"/>
      <c r="R411" s="219"/>
      <c r="S411" s="532"/>
      <c r="T411" s="90"/>
      <c r="U411" s="532"/>
      <c r="V411" s="532"/>
      <c r="W411" s="532"/>
      <c r="X411" s="532"/>
      <c r="Y411" s="532"/>
      <c r="Z411" s="532"/>
      <c r="AA411" s="532"/>
      <c r="AB411" s="532"/>
      <c r="AC411" s="532"/>
      <c r="AD411" s="532"/>
      <c r="AE411" s="532"/>
      <c r="AF411" s="532"/>
      <c r="AG411" s="532"/>
      <c r="AH411" s="532"/>
      <c r="AI411" s="532"/>
      <c r="AJ411" s="532"/>
    </row>
    <row r="412" spans="13:36" ht="12.95" customHeight="1" x14ac:dyDescent="0.2">
      <c r="M412" s="532"/>
      <c r="N412" s="532"/>
      <c r="O412" s="532"/>
      <c r="P412" s="90"/>
      <c r="Q412" s="532"/>
      <c r="R412" s="219"/>
      <c r="S412" s="532"/>
      <c r="T412" s="90"/>
      <c r="U412" s="532"/>
      <c r="V412" s="532"/>
      <c r="W412" s="532"/>
      <c r="X412" s="532"/>
      <c r="Y412" s="532"/>
      <c r="Z412" s="532"/>
      <c r="AA412" s="532"/>
      <c r="AB412" s="532"/>
      <c r="AC412" s="532"/>
      <c r="AD412" s="532"/>
      <c r="AE412" s="532"/>
      <c r="AF412" s="532"/>
      <c r="AG412" s="532"/>
      <c r="AH412" s="532"/>
      <c r="AI412" s="532"/>
      <c r="AJ412" s="532"/>
    </row>
    <row r="413" spans="13:36" ht="12.95" customHeight="1" x14ac:dyDescent="0.2">
      <c r="M413" s="532"/>
      <c r="N413" s="532"/>
      <c r="O413" s="532"/>
      <c r="P413" s="90"/>
      <c r="Q413" s="532"/>
      <c r="R413" s="219"/>
      <c r="S413" s="532"/>
      <c r="T413" s="90"/>
      <c r="U413" s="532"/>
      <c r="V413" s="532"/>
      <c r="W413" s="532"/>
      <c r="X413" s="532"/>
      <c r="Y413" s="532"/>
      <c r="Z413" s="532"/>
      <c r="AA413" s="532"/>
      <c r="AB413" s="532"/>
      <c r="AC413" s="532"/>
      <c r="AD413" s="532"/>
      <c r="AE413" s="532"/>
      <c r="AF413" s="532"/>
      <c r="AG413" s="532"/>
      <c r="AH413" s="532"/>
      <c r="AI413" s="532"/>
      <c r="AJ413" s="532"/>
    </row>
    <row r="414" spans="13:36" ht="12.95" customHeight="1" x14ac:dyDescent="0.2">
      <c r="M414" s="532"/>
      <c r="N414" s="532"/>
      <c r="O414" s="532"/>
      <c r="P414" s="90"/>
      <c r="Q414" s="532"/>
      <c r="R414" s="219"/>
      <c r="S414" s="532"/>
      <c r="T414" s="90"/>
      <c r="U414" s="532"/>
      <c r="V414" s="532"/>
      <c r="W414" s="532"/>
      <c r="X414" s="532"/>
      <c r="Y414" s="532"/>
      <c r="Z414" s="532"/>
      <c r="AA414" s="532"/>
      <c r="AB414" s="532"/>
      <c r="AC414" s="532"/>
      <c r="AD414" s="532"/>
      <c r="AE414" s="532"/>
      <c r="AF414" s="532"/>
      <c r="AG414" s="532"/>
      <c r="AH414" s="532"/>
      <c r="AI414" s="532"/>
      <c r="AJ414" s="532"/>
    </row>
    <row r="415" spans="13:36" ht="12.95" customHeight="1" x14ac:dyDescent="0.2">
      <c r="M415" s="532"/>
      <c r="N415" s="532"/>
      <c r="O415" s="532"/>
      <c r="P415" s="90"/>
      <c r="Q415" s="532"/>
      <c r="R415" s="219"/>
      <c r="S415" s="532"/>
      <c r="T415" s="90"/>
      <c r="U415" s="532"/>
      <c r="V415" s="532"/>
      <c r="W415" s="532"/>
      <c r="X415" s="532"/>
      <c r="Y415" s="532"/>
      <c r="Z415" s="532"/>
      <c r="AA415" s="532"/>
      <c r="AB415" s="532"/>
      <c r="AC415" s="532"/>
      <c r="AD415" s="532"/>
      <c r="AE415" s="532"/>
      <c r="AF415" s="532"/>
      <c r="AG415" s="532"/>
      <c r="AH415" s="532"/>
      <c r="AI415" s="532"/>
      <c r="AJ415" s="532"/>
    </row>
    <row r="416" spans="13:36" ht="12.95" customHeight="1" x14ac:dyDescent="0.2">
      <c r="M416" s="532"/>
      <c r="N416" s="532"/>
      <c r="O416" s="532"/>
      <c r="P416" s="90"/>
      <c r="Q416" s="532"/>
      <c r="R416" s="219"/>
      <c r="S416" s="532"/>
      <c r="T416" s="90"/>
      <c r="U416" s="532"/>
      <c r="V416" s="532"/>
      <c r="W416" s="532"/>
      <c r="X416" s="532"/>
      <c r="Y416" s="532"/>
      <c r="Z416" s="532"/>
      <c r="AA416" s="532"/>
      <c r="AB416" s="532"/>
      <c r="AC416" s="532"/>
      <c r="AD416" s="532"/>
      <c r="AE416" s="532"/>
      <c r="AF416" s="532"/>
      <c r="AG416" s="532"/>
      <c r="AH416" s="532"/>
      <c r="AI416" s="532"/>
      <c r="AJ416" s="532"/>
    </row>
    <row r="417" spans="13:36" ht="12.95" customHeight="1" x14ac:dyDescent="0.2">
      <c r="M417" s="532"/>
      <c r="N417" s="532"/>
      <c r="O417" s="532"/>
      <c r="P417" s="90"/>
      <c r="Q417" s="532"/>
      <c r="R417" s="219"/>
      <c r="S417" s="532"/>
      <c r="T417" s="90"/>
      <c r="U417" s="532"/>
      <c r="V417" s="532"/>
      <c r="W417" s="532"/>
      <c r="X417" s="532"/>
      <c r="Y417" s="532"/>
      <c r="Z417" s="532"/>
      <c r="AA417" s="532"/>
      <c r="AB417" s="532"/>
      <c r="AC417" s="532"/>
      <c r="AD417" s="532"/>
      <c r="AE417" s="532"/>
      <c r="AF417" s="532"/>
      <c r="AG417" s="532"/>
      <c r="AH417" s="532"/>
      <c r="AI417" s="532"/>
      <c r="AJ417" s="532"/>
    </row>
    <row r="418" spans="13:36" ht="12.95" customHeight="1" x14ac:dyDescent="0.2">
      <c r="M418" s="532"/>
      <c r="N418" s="532"/>
      <c r="O418" s="532"/>
      <c r="P418" s="90"/>
      <c r="Q418" s="532"/>
      <c r="R418" s="219"/>
      <c r="S418" s="532"/>
      <c r="T418" s="90"/>
      <c r="U418" s="532"/>
      <c r="V418" s="532"/>
      <c r="W418" s="532"/>
      <c r="X418" s="532"/>
      <c r="Y418" s="532"/>
      <c r="Z418" s="532"/>
      <c r="AA418" s="532"/>
      <c r="AB418" s="532"/>
      <c r="AC418" s="532"/>
      <c r="AD418" s="532"/>
      <c r="AE418" s="532"/>
      <c r="AF418" s="532"/>
      <c r="AG418" s="532"/>
      <c r="AH418" s="532"/>
      <c r="AI418" s="532"/>
      <c r="AJ418" s="532"/>
    </row>
    <row r="419" spans="13:36" ht="12.95" customHeight="1" x14ac:dyDescent="0.2">
      <c r="M419" s="532"/>
      <c r="N419" s="532"/>
      <c r="O419" s="532"/>
      <c r="P419" s="90"/>
      <c r="Q419" s="532"/>
      <c r="R419" s="219"/>
      <c r="S419" s="532"/>
      <c r="T419" s="90"/>
      <c r="U419" s="532"/>
      <c r="V419" s="532"/>
      <c r="W419" s="532"/>
      <c r="X419" s="532"/>
      <c r="Y419" s="532"/>
      <c r="Z419" s="532"/>
      <c r="AA419" s="532"/>
      <c r="AB419" s="532"/>
      <c r="AC419" s="532"/>
      <c r="AD419" s="532"/>
      <c r="AE419" s="532"/>
      <c r="AF419" s="532"/>
      <c r="AG419" s="532"/>
      <c r="AH419" s="532"/>
      <c r="AI419" s="532"/>
      <c r="AJ419" s="532"/>
    </row>
    <row r="420" spans="13:36" ht="12.95" customHeight="1" x14ac:dyDescent="0.2">
      <c r="M420" s="532"/>
      <c r="N420" s="532"/>
      <c r="O420" s="532"/>
      <c r="P420" s="90"/>
      <c r="Q420" s="532"/>
      <c r="R420" s="219"/>
      <c r="S420" s="532"/>
      <c r="T420" s="90"/>
      <c r="U420" s="532"/>
      <c r="V420" s="532"/>
      <c r="W420" s="532"/>
      <c r="X420" s="532"/>
      <c r="Y420" s="532"/>
      <c r="Z420" s="532"/>
      <c r="AA420" s="532"/>
      <c r="AB420" s="532"/>
      <c r="AC420" s="532"/>
      <c r="AD420" s="532"/>
      <c r="AE420" s="532"/>
      <c r="AF420" s="532"/>
      <c r="AG420" s="532"/>
      <c r="AH420" s="532"/>
      <c r="AI420" s="532"/>
      <c r="AJ420" s="532"/>
    </row>
    <row r="421" spans="13:36" ht="12.95" customHeight="1" x14ac:dyDescent="0.2">
      <c r="M421" s="532"/>
      <c r="N421" s="532"/>
      <c r="O421" s="532"/>
      <c r="P421" s="90"/>
      <c r="Q421" s="532"/>
      <c r="R421" s="219"/>
      <c r="S421" s="532"/>
      <c r="T421" s="90"/>
      <c r="U421" s="532"/>
      <c r="V421" s="532"/>
      <c r="W421" s="532"/>
      <c r="X421" s="532"/>
      <c r="Y421" s="532"/>
      <c r="Z421" s="532"/>
      <c r="AA421" s="532"/>
      <c r="AB421" s="532"/>
      <c r="AC421" s="532"/>
      <c r="AD421" s="532"/>
      <c r="AE421" s="532"/>
      <c r="AF421" s="532"/>
      <c r="AG421" s="532"/>
      <c r="AH421" s="532"/>
      <c r="AI421" s="532"/>
      <c r="AJ421" s="532"/>
    </row>
    <row r="422" spans="13:36" ht="12.95" customHeight="1" x14ac:dyDescent="0.2">
      <c r="M422" s="532"/>
      <c r="N422" s="532"/>
      <c r="O422" s="532"/>
      <c r="P422" s="90"/>
      <c r="Q422" s="532"/>
      <c r="R422" s="219"/>
      <c r="S422" s="532"/>
      <c r="T422" s="90"/>
      <c r="U422" s="532"/>
      <c r="V422" s="532"/>
      <c r="W422" s="532"/>
      <c r="X422" s="532"/>
      <c r="Y422" s="532"/>
      <c r="Z422" s="532"/>
      <c r="AA422" s="532"/>
      <c r="AB422" s="532"/>
      <c r="AC422" s="532"/>
      <c r="AD422" s="532"/>
      <c r="AE422" s="532"/>
      <c r="AF422" s="532"/>
      <c r="AG422" s="532"/>
      <c r="AH422" s="532"/>
      <c r="AI422" s="532"/>
      <c r="AJ422" s="532"/>
    </row>
    <row r="423" spans="13:36" ht="12.95" customHeight="1" x14ac:dyDescent="0.2">
      <c r="M423" s="532"/>
      <c r="N423" s="532"/>
      <c r="O423" s="532"/>
      <c r="P423" s="90"/>
      <c r="Q423" s="532"/>
      <c r="R423" s="219"/>
      <c r="S423" s="532"/>
      <c r="T423" s="90"/>
      <c r="U423" s="532"/>
      <c r="V423" s="532"/>
      <c r="W423" s="532"/>
      <c r="X423" s="532"/>
      <c r="Y423" s="532"/>
      <c r="Z423" s="532"/>
      <c r="AA423" s="532"/>
      <c r="AB423" s="532"/>
      <c r="AC423" s="532"/>
      <c r="AD423" s="532"/>
      <c r="AE423" s="532"/>
      <c r="AF423" s="532"/>
      <c r="AG423" s="532"/>
      <c r="AH423" s="532"/>
      <c r="AI423" s="532"/>
      <c r="AJ423" s="532"/>
    </row>
    <row r="424" spans="13:36" ht="12.95" customHeight="1" x14ac:dyDescent="0.2">
      <c r="M424" s="532"/>
      <c r="N424" s="532"/>
      <c r="O424" s="532"/>
      <c r="P424" s="90"/>
      <c r="Q424" s="532"/>
      <c r="R424" s="219"/>
      <c r="S424" s="532"/>
      <c r="T424" s="90"/>
      <c r="U424" s="532"/>
      <c r="V424" s="532"/>
      <c r="W424" s="532"/>
      <c r="X424" s="532"/>
      <c r="Y424" s="532"/>
      <c r="Z424" s="532"/>
      <c r="AA424" s="532"/>
      <c r="AB424" s="532"/>
      <c r="AC424" s="532"/>
      <c r="AD424" s="532"/>
      <c r="AE424" s="532"/>
      <c r="AF424" s="532"/>
      <c r="AG424" s="532"/>
      <c r="AH424" s="532"/>
      <c r="AI424" s="532"/>
      <c r="AJ424" s="532"/>
    </row>
    <row r="425" spans="13:36" ht="12.95" customHeight="1" x14ac:dyDescent="0.2">
      <c r="M425" s="532"/>
      <c r="N425" s="532"/>
      <c r="O425" s="532"/>
      <c r="P425" s="90"/>
      <c r="Q425" s="532"/>
      <c r="R425" s="219"/>
      <c r="S425" s="532"/>
      <c r="T425" s="90"/>
      <c r="U425" s="532"/>
      <c r="V425" s="532"/>
      <c r="W425" s="532"/>
      <c r="X425" s="532"/>
      <c r="Y425" s="532"/>
      <c r="Z425" s="532"/>
      <c r="AA425" s="532"/>
      <c r="AB425" s="532"/>
      <c r="AC425" s="532"/>
      <c r="AD425" s="532"/>
      <c r="AE425" s="532"/>
      <c r="AF425" s="532"/>
      <c r="AG425" s="532"/>
      <c r="AH425" s="532"/>
      <c r="AI425" s="532"/>
      <c r="AJ425" s="532"/>
    </row>
    <row r="426" spans="13:36" ht="12.95" customHeight="1" x14ac:dyDescent="0.2">
      <c r="M426" s="532"/>
      <c r="N426" s="532"/>
      <c r="O426" s="532"/>
      <c r="P426" s="90"/>
      <c r="Q426" s="532"/>
      <c r="R426" s="219"/>
      <c r="S426" s="532"/>
      <c r="T426" s="90"/>
      <c r="U426" s="532"/>
      <c r="V426" s="532"/>
      <c r="W426" s="532"/>
      <c r="X426" s="532"/>
      <c r="Y426" s="532"/>
      <c r="Z426" s="532"/>
      <c r="AA426" s="532"/>
      <c r="AB426" s="532"/>
      <c r="AC426" s="532"/>
      <c r="AD426" s="532"/>
      <c r="AE426" s="532"/>
      <c r="AF426" s="532"/>
      <c r="AG426" s="532"/>
      <c r="AH426" s="532"/>
      <c r="AI426" s="532"/>
      <c r="AJ426" s="532"/>
    </row>
    <row r="427" spans="13:36" ht="12.95" customHeight="1" x14ac:dyDescent="0.2">
      <c r="M427" s="532"/>
      <c r="N427" s="532"/>
      <c r="O427" s="532"/>
      <c r="P427" s="90"/>
      <c r="Q427" s="532"/>
      <c r="R427" s="219"/>
      <c r="S427" s="532"/>
      <c r="T427" s="90"/>
      <c r="U427" s="532"/>
      <c r="V427" s="532"/>
      <c r="W427" s="532"/>
      <c r="X427" s="532"/>
      <c r="Y427" s="532"/>
      <c r="Z427" s="532"/>
      <c r="AA427" s="532"/>
      <c r="AB427" s="532"/>
      <c r="AC427" s="532"/>
      <c r="AD427" s="532"/>
      <c r="AE427" s="532"/>
      <c r="AF427" s="532"/>
      <c r="AG427" s="532"/>
      <c r="AH427" s="532"/>
      <c r="AI427" s="532"/>
      <c r="AJ427" s="532"/>
    </row>
    <row r="428" spans="13:36" ht="12.95" customHeight="1" x14ac:dyDescent="0.2">
      <c r="M428" s="532"/>
      <c r="N428" s="532"/>
      <c r="O428" s="532"/>
      <c r="P428" s="90"/>
      <c r="Q428" s="532"/>
      <c r="R428" s="219"/>
      <c r="S428" s="532"/>
      <c r="T428" s="90"/>
      <c r="U428" s="532"/>
      <c r="V428" s="532"/>
      <c r="W428" s="532"/>
      <c r="X428" s="532"/>
      <c r="Y428" s="532"/>
      <c r="Z428" s="532"/>
      <c r="AA428" s="532"/>
      <c r="AB428" s="532"/>
      <c r="AC428" s="532"/>
      <c r="AD428" s="532"/>
      <c r="AE428" s="532"/>
      <c r="AF428" s="532"/>
      <c r="AG428" s="532"/>
      <c r="AH428" s="532"/>
      <c r="AI428" s="532"/>
      <c r="AJ428" s="532"/>
    </row>
    <row r="429" spans="13:36" ht="12.95" customHeight="1" x14ac:dyDescent="0.2">
      <c r="M429" s="532"/>
      <c r="N429" s="532"/>
      <c r="O429" s="532"/>
      <c r="P429" s="90"/>
      <c r="Q429" s="532"/>
      <c r="R429" s="219"/>
      <c r="S429" s="532"/>
      <c r="T429" s="90"/>
      <c r="U429" s="532"/>
      <c r="V429" s="532"/>
      <c r="W429" s="532"/>
      <c r="X429" s="532"/>
      <c r="Y429" s="532"/>
      <c r="Z429" s="532"/>
      <c r="AA429" s="532"/>
      <c r="AB429" s="532"/>
      <c r="AC429" s="532"/>
      <c r="AD429" s="532"/>
      <c r="AE429" s="532"/>
      <c r="AF429" s="532"/>
      <c r="AG429" s="532"/>
      <c r="AH429" s="532"/>
      <c r="AI429" s="532"/>
      <c r="AJ429" s="532"/>
    </row>
    <row r="430" spans="13:36" ht="12.95" customHeight="1" x14ac:dyDescent="0.2">
      <c r="M430" s="532"/>
      <c r="N430" s="532"/>
      <c r="O430" s="532"/>
      <c r="P430" s="90"/>
      <c r="Q430" s="532"/>
      <c r="R430" s="219"/>
      <c r="S430" s="532"/>
      <c r="T430" s="90"/>
      <c r="U430" s="532"/>
      <c r="V430" s="532"/>
      <c r="W430" s="532"/>
      <c r="X430" s="532"/>
      <c r="Y430" s="532"/>
      <c r="Z430" s="532"/>
      <c r="AA430" s="532"/>
      <c r="AB430" s="532"/>
      <c r="AC430" s="532"/>
      <c r="AD430" s="532"/>
      <c r="AE430" s="532"/>
      <c r="AF430" s="532"/>
      <c r="AG430" s="532"/>
      <c r="AH430" s="532"/>
      <c r="AI430" s="532"/>
      <c r="AJ430" s="532"/>
    </row>
    <row r="431" spans="13:36" ht="12.95" customHeight="1" x14ac:dyDescent="0.2">
      <c r="M431" s="532"/>
      <c r="N431" s="532"/>
      <c r="O431" s="532"/>
      <c r="P431" s="90"/>
      <c r="Q431" s="532"/>
      <c r="R431" s="219"/>
      <c r="S431" s="532"/>
      <c r="T431" s="90"/>
      <c r="U431" s="532"/>
      <c r="V431" s="532"/>
      <c r="W431" s="532"/>
      <c r="X431" s="532"/>
      <c r="Y431" s="532"/>
      <c r="Z431" s="532"/>
      <c r="AA431" s="532"/>
      <c r="AB431" s="532"/>
      <c r="AC431" s="532"/>
      <c r="AD431" s="532"/>
      <c r="AE431" s="532"/>
      <c r="AF431" s="532"/>
      <c r="AG431" s="532"/>
      <c r="AH431" s="532"/>
      <c r="AI431" s="532"/>
      <c r="AJ431" s="532"/>
    </row>
    <row r="432" spans="13:36" ht="12.95" customHeight="1" x14ac:dyDescent="0.2">
      <c r="M432" s="532"/>
      <c r="N432" s="532"/>
      <c r="O432" s="532"/>
      <c r="P432" s="90"/>
      <c r="Q432" s="532"/>
      <c r="R432" s="219"/>
      <c r="S432" s="532"/>
      <c r="T432" s="90"/>
      <c r="U432" s="532"/>
      <c r="V432" s="532"/>
      <c r="W432" s="532"/>
      <c r="X432" s="532"/>
      <c r="Y432" s="532"/>
      <c r="Z432" s="532"/>
      <c r="AA432" s="532"/>
      <c r="AB432" s="532"/>
      <c r="AC432" s="532"/>
      <c r="AD432" s="532"/>
      <c r="AE432" s="532"/>
      <c r="AF432" s="532"/>
      <c r="AG432" s="532"/>
      <c r="AH432" s="532"/>
      <c r="AI432" s="532"/>
      <c r="AJ432" s="532"/>
    </row>
    <row r="433" spans="13:36" ht="12.95" customHeight="1" x14ac:dyDescent="0.2">
      <c r="M433" s="532"/>
      <c r="N433" s="532"/>
      <c r="O433" s="532"/>
      <c r="P433" s="90"/>
      <c r="Q433" s="532"/>
      <c r="R433" s="219"/>
      <c r="S433" s="532"/>
      <c r="T433" s="90"/>
      <c r="U433" s="532"/>
      <c r="V433" s="532"/>
      <c r="W433" s="532"/>
      <c r="X433" s="532"/>
      <c r="Y433" s="532"/>
      <c r="Z433" s="532"/>
      <c r="AA433" s="532"/>
      <c r="AB433" s="532"/>
      <c r="AC433" s="532"/>
      <c r="AD433" s="532"/>
      <c r="AE433" s="532"/>
      <c r="AF433" s="532"/>
      <c r="AG433" s="532"/>
      <c r="AH433" s="532"/>
      <c r="AI433" s="532"/>
      <c r="AJ433" s="532"/>
    </row>
    <row r="434" spans="13:36" ht="12.95" customHeight="1" x14ac:dyDescent="0.2">
      <c r="M434" s="532"/>
      <c r="N434" s="532"/>
      <c r="O434" s="532"/>
      <c r="P434" s="90"/>
      <c r="Q434" s="532"/>
      <c r="R434" s="219"/>
      <c r="S434" s="532"/>
      <c r="T434" s="90"/>
      <c r="U434" s="532"/>
      <c r="V434" s="532"/>
      <c r="W434" s="532"/>
      <c r="X434" s="532"/>
      <c r="Y434" s="532"/>
      <c r="Z434" s="532"/>
      <c r="AA434" s="532"/>
      <c r="AB434" s="532"/>
      <c r="AC434" s="532"/>
      <c r="AD434" s="532"/>
      <c r="AE434" s="532"/>
      <c r="AF434" s="532"/>
      <c r="AG434" s="532"/>
      <c r="AH434" s="532"/>
      <c r="AI434" s="532"/>
      <c r="AJ434" s="532"/>
    </row>
    <row r="435" spans="13:36" ht="12.95" customHeight="1" x14ac:dyDescent="0.2">
      <c r="M435" s="532"/>
      <c r="N435" s="532"/>
      <c r="O435" s="532"/>
      <c r="P435" s="90"/>
      <c r="Q435" s="532"/>
      <c r="R435" s="219"/>
      <c r="S435" s="532"/>
      <c r="T435" s="90"/>
      <c r="U435" s="532"/>
      <c r="V435" s="532"/>
      <c r="W435" s="532"/>
      <c r="X435" s="532"/>
      <c r="Y435" s="532"/>
      <c r="Z435" s="532"/>
      <c r="AA435" s="532"/>
      <c r="AB435" s="532"/>
      <c r="AC435" s="532"/>
      <c r="AD435" s="532"/>
      <c r="AE435" s="532"/>
      <c r="AF435" s="532"/>
      <c r="AG435" s="532"/>
      <c r="AH435" s="532"/>
      <c r="AI435" s="532"/>
      <c r="AJ435" s="532"/>
    </row>
    <row r="436" spans="13:36" ht="12.95" customHeight="1" x14ac:dyDescent="0.2">
      <c r="M436" s="532"/>
      <c r="N436" s="532"/>
      <c r="O436" s="532"/>
      <c r="P436" s="90"/>
      <c r="Q436" s="532"/>
      <c r="R436" s="219"/>
      <c r="S436" s="532"/>
      <c r="T436" s="90"/>
      <c r="U436" s="532"/>
      <c r="V436" s="532"/>
      <c r="W436" s="532"/>
      <c r="X436" s="532"/>
      <c r="Y436" s="532"/>
      <c r="Z436" s="532"/>
      <c r="AA436" s="532"/>
      <c r="AB436" s="532"/>
      <c r="AC436" s="532"/>
      <c r="AD436" s="532"/>
      <c r="AE436" s="532"/>
      <c r="AF436" s="532"/>
      <c r="AG436" s="532"/>
      <c r="AH436" s="532"/>
      <c r="AI436" s="532"/>
      <c r="AJ436" s="532"/>
    </row>
    <row r="437" spans="13:36" ht="12.95" customHeight="1" x14ac:dyDescent="0.2">
      <c r="M437" s="532"/>
      <c r="N437" s="532"/>
      <c r="O437" s="532"/>
      <c r="P437" s="90"/>
      <c r="Q437" s="532"/>
      <c r="R437" s="219"/>
      <c r="S437" s="532"/>
      <c r="T437" s="90"/>
      <c r="U437" s="532"/>
      <c r="V437" s="532"/>
      <c r="W437" s="532"/>
      <c r="X437" s="532"/>
      <c r="Y437" s="532"/>
      <c r="Z437" s="532"/>
      <c r="AA437" s="532"/>
      <c r="AB437" s="532"/>
      <c r="AC437" s="532"/>
      <c r="AD437" s="532"/>
      <c r="AE437" s="532"/>
      <c r="AF437" s="532"/>
      <c r="AG437" s="532"/>
      <c r="AH437" s="532"/>
      <c r="AI437" s="532"/>
      <c r="AJ437" s="532"/>
    </row>
    <row r="438" spans="13:36" ht="12.95" customHeight="1" x14ac:dyDescent="0.2">
      <c r="M438" s="532"/>
      <c r="N438" s="532"/>
      <c r="O438" s="532"/>
      <c r="P438" s="90"/>
      <c r="Q438" s="532"/>
      <c r="R438" s="219"/>
      <c r="S438" s="532"/>
      <c r="T438" s="90"/>
      <c r="U438" s="532"/>
      <c r="V438" s="532"/>
      <c r="W438" s="532"/>
      <c r="X438" s="532"/>
      <c r="Y438" s="532"/>
      <c r="Z438" s="532"/>
      <c r="AA438" s="532"/>
      <c r="AB438" s="532"/>
      <c r="AC438" s="532"/>
      <c r="AD438" s="532"/>
      <c r="AE438" s="532"/>
      <c r="AF438" s="532"/>
      <c r="AG438" s="532"/>
      <c r="AH438" s="532"/>
      <c r="AI438" s="532"/>
      <c r="AJ438" s="532"/>
    </row>
    <row r="439" spans="13:36" ht="12.95" customHeight="1" x14ac:dyDescent="0.2">
      <c r="M439" s="532"/>
      <c r="N439" s="532"/>
      <c r="O439" s="532"/>
      <c r="P439" s="90"/>
      <c r="Q439" s="532"/>
      <c r="R439" s="219"/>
      <c r="S439" s="532"/>
      <c r="T439" s="90"/>
      <c r="U439" s="532"/>
      <c r="V439" s="532"/>
      <c r="W439" s="532"/>
      <c r="X439" s="532"/>
      <c r="Y439" s="532"/>
      <c r="Z439" s="532"/>
      <c r="AA439" s="532"/>
      <c r="AB439" s="532"/>
      <c r="AC439" s="532"/>
      <c r="AD439" s="532"/>
      <c r="AE439" s="532"/>
      <c r="AF439" s="532"/>
      <c r="AG439" s="532"/>
      <c r="AH439" s="532"/>
      <c r="AI439" s="532"/>
      <c r="AJ439" s="532"/>
    </row>
    <row r="440" spans="13:36" ht="12.95" customHeight="1" x14ac:dyDescent="0.2">
      <c r="M440" s="532"/>
      <c r="N440" s="532"/>
      <c r="O440" s="532"/>
      <c r="P440" s="90"/>
      <c r="Q440" s="532"/>
      <c r="R440" s="219"/>
      <c r="S440" s="532"/>
      <c r="T440" s="90"/>
      <c r="U440" s="532"/>
      <c r="V440" s="532"/>
      <c r="W440" s="532"/>
      <c r="X440" s="532"/>
      <c r="Y440" s="532"/>
      <c r="Z440" s="532"/>
      <c r="AA440" s="532"/>
      <c r="AB440" s="532"/>
      <c r="AC440" s="532"/>
      <c r="AD440" s="532"/>
      <c r="AE440" s="532"/>
      <c r="AF440" s="532"/>
      <c r="AG440" s="532"/>
      <c r="AH440" s="532"/>
      <c r="AI440" s="532"/>
      <c r="AJ440" s="532"/>
    </row>
    <row r="441" spans="13:36" ht="12.95" customHeight="1" x14ac:dyDescent="0.2">
      <c r="M441" s="532"/>
      <c r="N441" s="532"/>
      <c r="O441" s="532"/>
      <c r="P441" s="90"/>
      <c r="Q441" s="532"/>
      <c r="R441" s="219"/>
      <c r="S441" s="532"/>
      <c r="T441" s="90"/>
      <c r="U441" s="532"/>
      <c r="V441" s="532"/>
      <c r="W441" s="532"/>
      <c r="X441" s="532"/>
      <c r="Y441" s="532"/>
      <c r="Z441" s="532"/>
      <c r="AA441" s="532"/>
      <c r="AB441" s="532"/>
      <c r="AC441" s="532"/>
      <c r="AD441" s="532"/>
      <c r="AE441" s="532"/>
      <c r="AF441" s="532"/>
      <c r="AG441" s="532"/>
      <c r="AH441" s="532"/>
      <c r="AI441" s="532"/>
      <c r="AJ441" s="532"/>
    </row>
    <row r="442" spans="13:36" ht="12.95" customHeight="1" x14ac:dyDescent="0.2">
      <c r="M442" s="532"/>
      <c r="N442" s="532"/>
      <c r="O442" s="532"/>
      <c r="P442" s="90"/>
      <c r="Q442" s="532"/>
      <c r="R442" s="219"/>
      <c r="S442" s="532"/>
      <c r="T442" s="90"/>
      <c r="U442" s="532"/>
      <c r="V442" s="532"/>
      <c r="W442" s="532"/>
      <c r="X442" s="532"/>
      <c r="Y442" s="532"/>
      <c r="Z442" s="532"/>
      <c r="AA442" s="532"/>
      <c r="AB442" s="532"/>
      <c r="AC442" s="532"/>
      <c r="AD442" s="532"/>
      <c r="AE442" s="532"/>
      <c r="AF442" s="532"/>
      <c r="AG442" s="532"/>
      <c r="AH442" s="532"/>
      <c r="AI442" s="532"/>
      <c r="AJ442" s="532"/>
    </row>
    <row r="443" spans="13:36" ht="12.95" customHeight="1" x14ac:dyDescent="0.2">
      <c r="M443" s="532"/>
      <c r="N443" s="532"/>
      <c r="O443" s="532"/>
      <c r="P443" s="90"/>
      <c r="Q443" s="532"/>
      <c r="R443" s="219"/>
      <c r="S443" s="532"/>
      <c r="T443" s="90"/>
      <c r="U443" s="532"/>
      <c r="V443" s="532"/>
      <c r="W443" s="532"/>
      <c r="X443" s="532"/>
      <c r="Y443" s="532"/>
      <c r="Z443" s="532"/>
      <c r="AA443" s="532"/>
      <c r="AB443" s="532"/>
      <c r="AC443" s="532"/>
      <c r="AD443" s="532"/>
      <c r="AE443" s="532"/>
      <c r="AF443" s="532"/>
      <c r="AG443" s="532"/>
      <c r="AH443" s="532"/>
      <c r="AI443" s="532"/>
      <c r="AJ443" s="532"/>
    </row>
    <row r="444" spans="13:36" ht="12.95" customHeight="1" x14ac:dyDescent="0.2">
      <c r="M444" s="532"/>
      <c r="N444" s="532"/>
      <c r="O444" s="532"/>
      <c r="P444" s="90"/>
      <c r="Q444" s="532"/>
      <c r="R444" s="219"/>
      <c r="S444" s="532"/>
      <c r="T444" s="90"/>
      <c r="U444" s="532"/>
      <c r="V444" s="532"/>
      <c r="W444" s="532"/>
      <c r="X444" s="532"/>
      <c r="Y444" s="532"/>
      <c r="Z444" s="532"/>
      <c r="AA444" s="532"/>
      <c r="AB444" s="532"/>
      <c r="AC444" s="532"/>
      <c r="AD444" s="532"/>
      <c r="AE444" s="532"/>
      <c r="AF444" s="532"/>
      <c r="AG444" s="532"/>
      <c r="AH444" s="532"/>
      <c r="AI444" s="532"/>
      <c r="AJ444" s="532"/>
    </row>
    <row r="445" spans="13:36" ht="12.95" customHeight="1" x14ac:dyDescent="0.2">
      <c r="M445" s="532"/>
      <c r="N445" s="532"/>
      <c r="O445" s="532"/>
      <c r="P445" s="90"/>
      <c r="Q445" s="532"/>
      <c r="R445" s="219"/>
      <c r="S445" s="532"/>
      <c r="T445" s="90"/>
      <c r="U445" s="532"/>
      <c r="V445" s="532"/>
      <c r="W445" s="532"/>
      <c r="X445" s="532"/>
      <c r="Y445" s="532"/>
      <c r="Z445" s="532"/>
      <c r="AA445" s="532"/>
      <c r="AB445" s="532"/>
      <c r="AC445" s="532"/>
      <c r="AD445" s="532"/>
      <c r="AE445" s="532"/>
      <c r="AF445" s="532"/>
      <c r="AG445" s="532"/>
      <c r="AH445" s="532"/>
      <c r="AI445" s="532"/>
      <c r="AJ445" s="532"/>
    </row>
    <row r="446" spans="13:36" ht="12.95" customHeight="1" x14ac:dyDescent="0.2">
      <c r="M446" s="532"/>
      <c r="N446" s="532"/>
      <c r="O446" s="532"/>
      <c r="P446" s="90"/>
      <c r="Q446" s="532"/>
      <c r="R446" s="219"/>
      <c r="S446" s="532"/>
      <c r="T446" s="90"/>
      <c r="U446" s="532"/>
      <c r="V446" s="532"/>
      <c r="W446" s="532"/>
      <c r="X446" s="532"/>
      <c r="Y446" s="532"/>
      <c r="Z446" s="532"/>
      <c r="AA446" s="532"/>
      <c r="AB446" s="532"/>
      <c r="AC446" s="532"/>
      <c r="AD446" s="532"/>
      <c r="AE446" s="532"/>
      <c r="AF446" s="532"/>
      <c r="AG446" s="532"/>
      <c r="AH446" s="532"/>
      <c r="AI446" s="532"/>
      <c r="AJ446" s="532"/>
    </row>
    <row r="447" spans="13:36" ht="12.95" customHeight="1" x14ac:dyDescent="0.2">
      <c r="M447" s="532"/>
      <c r="N447" s="532"/>
      <c r="O447" s="532"/>
      <c r="P447" s="90"/>
      <c r="Q447" s="532"/>
      <c r="R447" s="219"/>
      <c r="S447" s="532"/>
      <c r="T447" s="90"/>
      <c r="U447" s="532"/>
      <c r="V447" s="532"/>
      <c r="W447" s="532"/>
      <c r="X447" s="532"/>
      <c r="Y447" s="532"/>
      <c r="Z447" s="532"/>
      <c r="AA447" s="532"/>
      <c r="AB447" s="532"/>
      <c r="AC447" s="532"/>
      <c r="AD447" s="532"/>
      <c r="AE447" s="532"/>
      <c r="AF447" s="532"/>
      <c r="AG447" s="532"/>
      <c r="AH447" s="532"/>
      <c r="AI447" s="532"/>
      <c r="AJ447" s="532"/>
    </row>
    <row r="448" spans="13:36" ht="12.95" customHeight="1" x14ac:dyDescent="0.2">
      <c r="M448" s="532"/>
      <c r="N448" s="532"/>
      <c r="O448" s="532"/>
      <c r="P448" s="90"/>
      <c r="Q448" s="532"/>
      <c r="R448" s="219"/>
      <c r="S448" s="532"/>
      <c r="T448" s="90"/>
      <c r="U448" s="532"/>
      <c r="V448" s="532"/>
      <c r="W448" s="532"/>
      <c r="X448" s="532"/>
      <c r="Y448" s="532"/>
      <c r="Z448" s="532"/>
      <c r="AA448" s="532"/>
      <c r="AB448" s="532"/>
      <c r="AC448" s="532"/>
      <c r="AD448" s="532"/>
      <c r="AE448" s="532"/>
      <c r="AF448" s="532"/>
      <c r="AG448" s="532"/>
      <c r="AH448" s="532"/>
      <c r="AI448" s="532"/>
      <c r="AJ448" s="532"/>
    </row>
    <row r="449" spans="13:36" ht="12.95" customHeight="1" x14ac:dyDescent="0.2">
      <c r="M449" s="532"/>
      <c r="N449" s="532"/>
      <c r="O449" s="532"/>
      <c r="P449" s="90"/>
      <c r="Q449" s="532"/>
      <c r="R449" s="219"/>
      <c r="S449" s="532"/>
      <c r="T449" s="90"/>
      <c r="U449" s="532"/>
      <c r="V449" s="532"/>
      <c r="W449" s="532"/>
      <c r="X449" s="532"/>
      <c r="Y449" s="532"/>
      <c r="Z449" s="532"/>
      <c r="AA449" s="532"/>
      <c r="AB449" s="532"/>
      <c r="AC449" s="532"/>
      <c r="AD449" s="532"/>
      <c r="AE449" s="532"/>
      <c r="AF449" s="532"/>
      <c r="AG449" s="532"/>
      <c r="AH449" s="532"/>
      <c r="AI449" s="532"/>
      <c r="AJ449" s="532"/>
    </row>
    <row r="450" spans="13:36" ht="12.95" customHeight="1" x14ac:dyDescent="0.2">
      <c r="M450" s="532"/>
      <c r="N450" s="532"/>
      <c r="O450" s="532"/>
      <c r="P450" s="90"/>
      <c r="Q450" s="532"/>
      <c r="R450" s="219"/>
      <c r="S450" s="532"/>
      <c r="T450" s="90"/>
      <c r="U450" s="532"/>
      <c r="V450" s="532"/>
      <c r="W450" s="532"/>
      <c r="X450" s="532"/>
      <c r="Y450" s="532"/>
      <c r="Z450" s="532"/>
      <c r="AA450" s="532"/>
      <c r="AB450" s="532"/>
      <c r="AC450" s="532"/>
      <c r="AD450" s="532"/>
      <c r="AE450" s="532"/>
      <c r="AF450" s="532"/>
      <c r="AG450" s="532"/>
      <c r="AH450" s="532"/>
      <c r="AI450" s="532"/>
      <c r="AJ450" s="532"/>
    </row>
    <row r="451" spans="13:36" ht="12.95" customHeight="1" x14ac:dyDescent="0.2">
      <c r="M451" s="532"/>
      <c r="N451" s="532"/>
      <c r="O451" s="532"/>
      <c r="P451" s="90"/>
      <c r="Q451" s="532"/>
      <c r="R451" s="219"/>
      <c r="S451" s="532"/>
      <c r="T451" s="90"/>
      <c r="U451" s="532"/>
      <c r="V451" s="532"/>
      <c r="W451" s="532"/>
      <c r="X451" s="532"/>
      <c r="Y451" s="532"/>
      <c r="Z451" s="532"/>
      <c r="AA451" s="532"/>
      <c r="AB451" s="532"/>
      <c r="AC451" s="532"/>
      <c r="AD451" s="532"/>
      <c r="AE451" s="532"/>
      <c r="AF451" s="532"/>
      <c r="AG451" s="532"/>
      <c r="AH451" s="532"/>
      <c r="AI451" s="532"/>
      <c r="AJ451" s="532"/>
    </row>
    <row r="452" spans="13:36" ht="12.95" customHeight="1" x14ac:dyDescent="0.2">
      <c r="M452" s="532"/>
      <c r="N452" s="532"/>
      <c r="O452" s="532"/>
      <c r="P452" s="90"/>
      <c r="Q452" s="532"/>
      <c r="R452" s="219"/>
      <c r="S452" s="532"/>
      <c r="T452" s="90"/>
      <c r="U452" s="532"/>
      <c r="V452" s="532"/>
      <c r="W452" s="532"/>
      <c r="X452" s="532"/>
      <c r="Y452" s="532"/>
      <c r="Z452" s="532"/>
      <c r="AA452" s="532"/>
      <c r="AB452" s="532"/>
      <c r="AC452" s="532"/>
      <c r="AD452" s="532"/>
      <c r="AE452" s="532"/>
      <c r="AF452" s="532"/>
      <c r="AG452" s="532"/>
      <c r="AH452" s="532"/>
      <c r="AI452" s="532"/>
      <c r="AJ452" s="532"/>
    </row>
    <row r="453" spans="13:36" ht="12.95" customHeight="1" x14ac:dyDescent="0.2">
      <c r="M453" s="532"/>
      <c r="N453" s="532"/>
      <c r="O453" s="532"/>
      <c r="P453" s="90"/>
      <c r="Q453" s="532"/>
      <c r="R453" s="219"/>
      <c r="S453" s="532"/>
      <c r="T453" s="90"/>
      <c r="U453" s="532"/>
      <c r="V453" s="532"/>
      <c r="W453" s="532"/>
      <c r="X453" s="532"/>
      <c r="Y453" s="532"/>
      <c r="Z453" s="532"/>
      <c r="AA453" s="532"/>
      <c r="AB453" s="532"/>
      <c r="AC453" s="532"/>
      <c r="AD453" s="532"/>
      <c r="AE453" s="532"/>
      <c r="AF453" s="532"/>
      <c r="AG453" s="532"/>
      <c r="AH453" s="532"/>
      <c r="AI453" s="532"/>
      <c r="AJ453" s="532"/>
    </row>
    <row r="454" spans="13:36" ht="12.95" customHeight="1" x14ac:dyDescent="0.2">
      <c r="M454" s="532"/>
      <c r="N454" s="532"/>
      <c r="O454" s="532"/>
      <c r="P454" s="90"/>
      <c r="Q454" s="532"/>
      <c r="R454" s="219"/>
      <c r="S454" s="532"/>
      <c r="T454" s="90"/>
      <c r="U454" s="532"/>
      <c r="V454" s="532"/>
      <c r="W454" s="532"/>
      <c r="X454" s="532"/>
      <c r="Y454" s="532"/>
      <c r="Z454" s="532"/>
      <c r="AA454" s="532"/>
      <c r="AB454" s="532"/>
      <c r="AC454" s="532"/>
      <c r="AD454" s="532"/>
      <c r="AE454" s="532"/>
      <c r="AF454" s="532"/>
      <c r="AG454" s="532"/>
      <c r="AH454" s="532"/>
      <c r="AI454" s="532"/>
      <c r="AJ454" s="532"/>
    </row>
    <row r="455" spans="13:36" ht="12.95" customHeight="1" x14ac:dyDescent="0.2">
      <c r="M455" s="532"/>
      <c r="N455" s="532"/>
      <c r="O455" s="532"/>
      <c r="P455" s="90"/>
      <c r="Q455" s="532"/>
      <c r="R455" s="219"/>
      <c r="S455" s="532"/>
      <c r="T455" s="90"/>
      <c r="U455" s="532"/>
      <c r="V455" s="532"/>
      <c r="W455" s="532"/>
      <c r="X455" s="532"/>
      <c r="Y455" s="532"/>
      <c r="Z455" s="532"/>
      <c r="AA455" s="532"/>
      <c r="AB455" s="532"/>
      <c r="AC455" s="532"/>
      <c r="AD455" s="532"/>
      <c r="AE455" s="532"/>
      <c r="AF455" s="532"/>
      <c r="AG455" s="532"/>
      <c r="AH455" s="532"/>
      <c r="AI455" s="532"/>
      <c r="AJ455" s="532"/>
    </row>
    <row r="456" spans="13:36" ht="12.95" customHeight="1" x14ac:dyDescent="0.2">
      <c r="M456" s="532"/>
      <c r="N456" s="532"/>
      <c r="O456" s="532"/>
      <c r="P456" s="90"/>
      <c r="Q456" s="532"/>
      <c r="R456" s="219"/>
      <c r="S456" s="532"/>
      <c r="T456" s="90"/>
      <c r="U456" s="532"/>
      <c r="V456" s="532"/>
      <c r="W456" s="532"/>
      <c r="X456" s="532"/>
      <c r="Y456" s="532"/>
      <c r="Z456" s="532"/>
      <c r="AA456" s="532"/>
      <c r="AB456" s="532"/>
      <c r="AC456" s="532"/>
      <c r="AD456" s="532"/>
      <c r="AE456" s="532"/>
      <c r="AF456" s="532"/>
      <c r="AG456" s="532"/>
      <c r="AH456" s="532"/>
      <c r="AI456" s="532"/>
      <c r="AJ456" s="532"/>
    </row>
    <row r="457" spans="13:36" ht="12.95" customHeight="1" x14ac:dyDescent="0.2">
      <c r="M457" s="532"/>
      <c r="N457" s="532"/>
      <c r="O457" s="532"/>
      <c r="P457" s="90"/>
      <c r="Q457" s="532"/>
      <c r="R457" s="219"/>
      <c r="S457" s="532"/>
      <c r="T457" s="90"/>
      <c r="U457" s="532"/>
      <c r="V457" s="532"/>
      <c r="W457" s="532"/>
      <c r="X457" s="532"/>
      <c r="Y457" s="532"/>
      <c r="Z457" s="532"/>
      <c r="AA457" s="532"/>
      <c r="AB457" s="532"/>
      <c r="AC457" s="532"/>
      <c r="AD457" s="532"/>
      <c r="AE457" s="532"/>
      <c r="AF457" s="532"/>
      <c r="AG457" s="532"/>
      <c r="AH457" s="532"/>
      <c r="AI457" s="532"/>
      <c r="AJ457" s="532"/>
    </row>
    <row r="458" spans="13:36" ht="12.95" customHeight="1" x14ac:dyDescent="0.2">
      <c r="M458" s="532"/>
      <c r="N458" s="532"/>
      <c r="O458" s="532"/>
      <c r="P458" s="90"/>
      <c r="Q458" s="532"/>
      <c r="R458" s="219"/>
      <c r="S458" s="532"/>
      <c r="T458" s="90"/>
      <c r="U458" s="532"/>
      <c r="V458" s="532"/>
      <c r="W458" s="532"/>
      <c r="X458" s="532"/>
      <c r="Y458" s="532"/>
      <c r="Z458" s="532"/>
      <c r="AA458" s="532"/>
      <c r="AB458" s="532"/>
      <c r="AC458" s="532"/>
      <c r="AD458" s="532"/>
      <c r="AE458" s="532"/>
      <c r="AF458" s="532"/>
      <c r="AG458" s="532"/>
      <c r="AH458" s="532"/>
      <c r="AI458" s="532"/>
      <c r="AJ458" s="532"/>
    </row>
    <row r="459" spans="13:36" ht="12.95" customHeight="1" x14ac:dyDescent="0.2">
      <c r="M459" s="532"/>
      <c r="N459" s="532"/>
      <c r="O459" s="532"/>
      <c r="P459" s="90"/>
      <c r="Q459" s="532"/>
      <c r="R459" s="219"/>
      <c r="S459" s="532"/>
      <c r="T459" s="90"/>
      <c r="U459" s="532"/>
      <c r="V459" s="532"/>
      <c r="W459" s="532"/>
      <c r="X459" s="532"/>
      <c r="Y459" s="532"/>
      <c r="Z459" s="532"/>
      <c r="AA459" s="532"/>
      <c r="AB459" s="532"/>
      <c r="AC459" s="532"/>
      <c r="AD459" s="532"/>
      <c r="AE459" s="532"/>
      <c r="AF459" s="532"/>
      <c r="AG459" s="532"/>
      <c r="AH459" s="532"/>
      <c r="AI459" s="532"/>
      <c r="AJ459" s="532"/>
    </row>
    <row r="460" spans="13:36" ht="12.95" customHeight="1" x14ac:dyDescent="0.2">
      <c r="M460" s="532"/>
      <c r="N460" s="532"/>
      <c r="O460" s="532"/>
      <c r="P460" s="90"/>
      <c r="Q460" s="532"/>
      <c r="R460" s="219"/>
      <c r="S460" s="532"/>
      <c r="T460" s="90"/>
      <c r="U460" s="532"/>
      <c r="V460" s="532"/>
      <c r="W460" s="532"/>
      <c r="X460" s="532"/>
      <c r="Y460" s="532"/>
      <c r="Z460" s="532"/>
      <c r="AA460" s="532"/>
      <c r="AB460" s="532"/>
      <c r="AC460" s="532"/>
      <c r="AD460" s="532"/>
      <c r="AE460" s="532"/>
      <c r="AF460" s="532"/>
      <c r="AG460" s="532"/>
      <c r="AH460" s="532"/>
      <c r="AI460" s="532"/>
      <c r="AJ460" s="532"/>
    </row>
    <row r="461" spans="13:36" ht="12.95" customHeight="1" x14ac:dyDescent="0.2">
      <c r="M461" s="532"/>
      <c r="N461" s="532"/>
      <c r="O461" s="532"/>
      <c r="P461" s="90"/>
      <c r="Q461" s="532"/>
      <c r="R461" s="219"/>
      <c r="S461" s="532"/>
      <c r="T461" s="90"/>
      <c r="U461" s="532"/>
      <c r="V461" s="532"/>
      <c r="W461" s="532"/>
      <c r="X461" s="532"/>
      <c r="Y461" s="532"/>
      <c r="Z461" s="532"/>
      <c r="AA461" s="532"/>
      <c r="AB461" s="532"/>
      <c r="AC461" s="532"/>
      <c r="AD461" s="532"/>
      <c r="AE461" s="532"/>
      <c r="AF461" s="532"/>
      <c r="AG461" s="532"/>
      <c r="AH461" s="532"/>
      <c r="AI461" s="532"/>
      <c r="AJ461" s="532"/>
    </row>
    <row r="462" spans="13:36" ht="12.95" customHeight="1" x14ac:dyDescent="0.2">
      <c r="M462" s="532"/>
      <c r="N462" s="532"/>
      <c r="O462" s="532"/>
      <c r="P462" s="90"/>
      <c r="Q462" s="532"/>
      <c r="R462" s="219"/>
      <c r="S462" s="532"/>
      <c r="T462" s="90"/>
      <c r="U462" s="532"/>
      <c r="V462" s="532"/>
      <c r="W462" s="532"/>
      <c r="X462" s="532"/>
      <c r="Y462" s="532"/>
      <c r="Z462" s="532"/>
      <c r="AA462" s="532"/>
      <c r="AB462" s="532"/>
      <c r="AC462" s="532"/>
      <c r="AD462" s="532"/>
      <c r="AE462" s="532"/>
      <c r="AF462" s="532"/>
      <c r="AG462" s="532"/>
      <c r="AH462" s="532"/>
      <c r="AI462" s="532"/>
      <c r="AJ462" s="532"/>
    </row>
    <row r="463" spans="13:36" ht="12.95" customHeight="1" x14ac:dyDescent="0.2">
      <c r="M463" s="532"/>
      <c r="N463" s="532"/>
      <c r="O463" s="532"/>
      <c r="P463" s="90"/>
      <c r="Q463" s="532"/>
      <c r="R463" s="219"/>
      <c r="S463" s="532"/>
      <c r="T463" s="90"/>
      <c r="U463" s="532"/>
      <c r="V463" s="532"/>
      <c r="W463" s="532"/>
      <c r="X463" s="532"/>
      <c r="Y463" s="532"/>
      <c r="Z463" s="532"/>
      <c r="AA463" s="532"/>
      <c r="AB463" s="532"/>
      <c r="AC463" s="532"/>
      <c r="AD463" s="532"/>
      <c r="AE463" s="532"/>
      <c r="AF463" s="532"/>
      <c r="AG463" s="532"/>
      <c r="AH463" s="532"/>
      <c r="AI463" s="532"/>
      <c r="AJ463" s="532"/>
    </row>
    <row r="464" spans="13:36" ht="12.95" customHeight="1" x14ac:dyDescent="0.2">
      <c r="M464" s="532"/>
      <c r="N464" s="532"/>
      <c r="O464" s="532"/>
      <c r="P464" s="90"/>
      <c r="Q464" s="532"/>
      <c r="R464" s="219"/>
      <c r="S464" s="532"/>
      <c r="T464" s="90"/>
      <c r="U464" s="532"/>
      <c r="V464" s="532"/>
      <c r="W464" s="532"/>
      <c r="X464" s="532"/>
      <c r="Y464" s="532"/>
      <c r="Z464" s="532"/>
      <c r="AA464" s="532"/>
      <c r="AB464" s="532"/>
      <c r="AC464" s="532"/>
      <c r="AD464" s="532"/>
      <c r="AE464" s="532"/>
      <c r="AF464" s="532"/>
      <c r="AG464" s="532"/>
      <c r="AH464" s="532"/>
      <c r="AI464" s="532"/>
      <c r="AJ464" s="532"/>
    </row>
    <row r="465" spans="13:36" ht="12.95" customHeight="1" x14ac:dyDescent="0.2">
      <c r="M465" s="532"/>
      <c r="N465" s="532"/>
      <c r="O465" s="532"/>
      <c r="P465" s="90"/>
      <c r="Q465" s="532"/>
      <c r="R465" s="219"/>
      <c r="S465" s="532"/>
      <c r="T465" s="90"/>
      <c r="U465" s="532"/>
      <c r="V465" s="532"/>
      <c r="W465" s="532"/>
      <c r="X465" s="532"/>
      <c r="Y465" s="532"/>
      <c r="Z465" s="532"/>
      <c r="AA465" s="532"/>
      <c r="AB465" s="532"/>
      <c r="AC465" s="532"/>
      <c r="AD465" s="532"/>
      <c r="AE465" s="532"/>
      <c r="AF465" s="532"/>
      <c r="AG465" s="532"/>
      <c r="AH465" s="532"/>
      <c r="AI465" s="532"/>
      <c r="AJ465" s="532"/>
    </row>
    <row r="466" spans="13:36" ht="12.95" customHeight="1" x14ac:dyDescent="0.2">
      <c r="M466" s="532"/>
      <c r="N466" s="532"/>
      <c r="O466" s="532"/>
      <c r="P466" s="90"/>
      <c r="Q466" s="532"/>
      <c r="R466" s="219"/>
      <c r="S466" s="532"/>
      <c r="T466" s="90"/>
      <c r="U466" s="532"/>
      <c r="V466" s="532"/>
      <c r="W466" s="532"/>
      <c r="X466" s="532"/>
      <c r="Y466" s="532"/>
      <c r="Z466" s="532"/>
      <c r="AA466" s="532"/>
      <c r="AB466" s="532"/>
      <c r="AC466" s="532"/>
      <c r="AD466" s="532"/>
      <c r="AE466" s="532"/>
      <c r="AF466" s="532"/>
      <c r="AG466" s="532"/>
      <c r="AH466" s="532"/>
      <c r="AI466" s="532"/>
      <c r="AJ466" s="532"/>
    </row>
    <row r="467" spans="13:36" ht="12.95" customHeight="1" x14ac:dyDescent="0.2">
      <c r="M467" s="532"/>
      <c r="N467" s="532"/>
      <c r="O467" s="532"/>
      <c r="P467" s="90"/>
      <c r="Q467" s="532"/>
      <c r="R467" s="219"/>
      <c r="S467" s="532"/>
      <c r="T467" s="90"/>
      <c r="U467" s="532"/>
      <c r="V467" s="532"/>
      <c r="W467" s="532"/>
      <c r="X467" s="532"/>
      <c r="Y467" s="532"/>
      <c r="Z467" s="532"/>
      <c r="AA467" s="532"/>
      <c r="AB467" s="532"/>
      <c r="AC467" s="532"/>
      <c r="AD467" s="532"/>
      <c r="AE467" s="532"/>
      <c r="AF467" s="532"/>
      <c r="AG467" s="532"/>
      <c r="AH467" s="532"/>
      <c r="AI467" s="532"/>
      <c r="AJ467" s="532"/>
    </row>
    <row r="468" spans="13:36" ht="12.95" customHeight="1" x14ac:dyDescent="0.2">
      <c r="M468" s="532"/>
      <c r="N468" s="532"/>
      <c r="O468" s="532"/>
      <c r="P468" s="90"/>
      <c r="Q468" s="532"/>
      <c r="R468" s="219"/>
      <c r="S468" s="532"/>
      <c r="T468" s="90"/>
      <c r="U468" s="532"/>
      <c r="V468" s="532"/>
      <c r="W468" s="532"/>
      <c r="X468" s="532"/>
      <c r="Y468" s="532"/>
      <c r="Z468" s="532"/>
      <c r="AA468" s="532"/>
      <c r="AB468" s="532"/>
      <c r="AC468" s="532"/>
      <c r="AD468" s="532"/>
      <c r="AE468" s="532"/>
      <c r="AF468" s="532"/>
      <c r="AG468" s="532"/>
      <c r="AH468" s="532"/>
      <c r="AI468" s="532"/>
      <c r="AJ468" s="532"/>
    </row>
    <row r="469" spans="13:36" ht="12.95" customHeight="1" x14ac:dyDescent="0.2">
      <c r="M469" s="532"/>
      <c r="N469" s="532"/>
      <c r="O469" s="532"/>
      <c r="P469" s="90"/>
      <c r="Q469" s="532"/>
      <c r="R469" s="219"/>
      <c r="S469" s="532"/>
      <c r="T469" s="90"/>
      <c r="U469" s="532"/>
      <c r="V469" s="532"/>
      <c r="W469" s="532"/>
      <c r="X469" s="532"/>
      <c r="Y469" s="532"/>
      <c r="Z469" s="532"/>
      <c r="AA469" s="532"/>
      <c r="AB469" s="532"/>
      <c r="AC469" s="532"/>
      <c r="AD469" s="532"/>
      <c r="AE469" s="532"/>
      <c r="AF469" s="532"/>
      <c r="AG469" s="532"/>
      <c r="AH469" s="532"/>
      <c r="AI469" s="532"/>
      <c r="AJ469" s="532"/>
    </row>
    <row r="470" spans="13:36" ht="12.95" customHeight="1" x14ac:dyDescent="0.2">
      <c r="M470" s="532"/>
      <c r="N470" s="532"/>
      <c r="O470" s="532"/>
      <c r="P470" s="90"/>
      <c r="Q470" s="532"/>
      <c r="R470" s="219"/>
      <c r="S470" s="532"/>
      <c r="T470" s="90"/>
      <c r="U470" s="532"/>
      <c r="V470" s="532"/>
      <c r="W470" s="532"/>
      <c r="X470" s="532"/>
      <c r="Y470" s="532"/>
      <c r="Z470" s="532"/>
      <c r="AA470" s="532"/>
      <c r="AB470" s="532"/>
      <c r="AC470" s="532"/>
      <c r="AD470" s="532"/>
      <c r="AE470" s="532"/>
      <c r="AF470" s="532"/>
      <c r="AG470" s="532"/>
      <c r="AH470" s="532"/>
      <c r="AI470" s="532"/>
      <c r="AJ470" s="532"/>
    </row>
    <row r="471" spans="13:36" ht="12.95" customHeight="1" x14ac:dyDescent="0.2">
      <c r="M471" s="532"/>
      <c r="N471" s="532"/>
      <c r="O471" s="532"/>
      <c r="P471" s="90"/>
      <c r="Q471" s="532"/>
      <c r="R471" s="219"/>
      <c r="S471" s="532"/>
      <c r="T471" s="90"/>
      <c r="U471" s="532"/>
      <c r="V471" s="532"/>
      <c r="W471" s="532"/>
      <c r="X471" s="532"/>
      <c r="Y471" s="532"/>
      <c r="Z471" s="532"/>
      <c r="AA471" s="532"/>
      <c r="AB471" s="532"/>
      <c r="AC471" s="532"/>
      <c r="AD471" s="532"/>
      <c r="AE471" s="532"/>
      <c r="AF471" s="532"/>
      <c r="AG471" s="532"/>
      <c r="AH471" s="532"/>
      <c r="AI471" s="532"/>
      <c r="AJ471" s="532"/>
    </row>
    <row r="472" spans="13:36" ht="12.95" customHeight="1" x14ac:dyDescent="0.2">
      <c r="M472" s="532"/>
      <c r="N472" s="532"/>
      <c r="O472" s="532"/>
      <c r="P472" s="90"/>
      <c r="Q472" s="532"/>
      <c r="R472" s="219"/>
      <c r="S472" s="532"/>
      <c r="T472" s="90"/>
      <c r="U472" s="532"/>
      <c r="V472" s="532"/>
      <c r="W472" s="532"/>
      <c r="X472" s="532"/>
      <c r="Y472" s="532"/>
      <c r="Z472" s="532"/>
      <c r="AA472" s="532"/>
      <c r="AB472" s="532"/>
      <c r="AC472" s="532"/>
      <c r="AD472" s="532"/>
      <c r="AE472" s="532"/>
      <c r="AF472" s="532"/>
      <c r="AG472" s="532"/>
      <c r="AH472" s="532"/>
      <c r="AI472" s="532"/>
      <c r="AJ472" s="532"/>
    </row>
    <row r="473" spans="13:36" ht="12.95" customHeight="1" x14ac:dyDescent="0.2">
      <c r="M473" s="532"/>
      <c r="N473" s="532"/>
      <c r="O473" s="532"/>
      <c r="P473" s="90"/>
      <c r="Q473" s="532"/>
      <c r="R473" s="219"/>
      <c r="S473" s="532"/>
      <c r="T473" s="90"/>
      <c r="U473" s="532"/>
      <c r="V473" s="532"/>
      <c r="W473" s="532"/>
      <c r="X473" s="532"/>
      <c r="Y473" s="532"/>
      <c r="Z473" s="532"/>
      <c r="AA473" s="532"/>
      <c r="AB473" s="532"/>
      <c r="AC473" s="532"/>
      <c r="AD473" s="532"/>
      <c r="AE473" s="532"/>
      <c r="AF473" s="532"/>
      <c r="AG473" s="532"/>
      <c r="AH473" s="532"/>
      <c r="AI473" s="532"/>
      <c r="AJ473" s="532"/>
    </row>
    <row r="474" spans="13:36" ht="12.95" customHeight="1" x14ac:dyDescent="0.2">
      <c r="M474" s="532"/>
      <c r="N474" s="532"/>
      <c r="O474" s="532"/>
      <c r="P474" s="90"/>
      <c r="Q474" s="532"/>
      <c r="R474" s="219"/>
      <c r="S474" s="532"/>
      <c r="T474" s="90"/>
      <c r="U474" s="532"/>
      <c r="V474" s="532"/>
      <c r="W474" s="532"/>
      <c r="X474" s="532"/>
      <c r="Y474" s="532"/>
      <c r="Z474" s="532"/>
      <c r="AA474" s="532"/>
      <c r="AB474" s="532"/>
      <c r="AC474" s="532"/>
      <c r="AD474" s="532"/>
      <c r="AE474" s="532"/>
      <c r="AF474" s="532"/>
      <c r="AG474" s="532"/>
      <c r="AH474" s="532"/>
      <c r="AI474" s="532"/>
      <c r="AJ474" s="532"/>
    </row>
    <row r="475" spans="13:36" ht="12.95" customHeight="1" x14ac:dyDescent="0.2">
      <c r="M475" s="532"/>
      <c r="N475" s="532"/>
      <c r="O475" s="532"/>
      <c r="P475" s="90"/>
      <c r="Q475" s="532"/>
      <c r="R475" s="219"/>
      <c r="S475" s="532"/>
      <c r="T475" s="90"/>
      <c r="U475" s="532"/>
      <c r="V475" s="532"/>
      <c r="W475" s="532"/>
      <c r="X475" s="532"/>
      <c r="Y475" s="532"/>
      <c r="Z475" s="532"/>
      <c r="AA475" s="532"/>
      <c r="AB475" s="532"/>
      <c r="AC475" s="532"/>
      <c r="AD475" s="532"/>
      <c r="AE475" s="532"/>
      <c r="AF475" s="532"/>
      <c r="AG475" s="532"/>
      <c r="AH475" s="532"/>
      <c r="AI475" s="532"/>
      <c r="AJ475" s="532"/>
    </row>
    <row r="476" spans="13:36" ht="12.95" customHeight="1" x14ac:dyDescent="0.2">
      <c r="M476" s="532"/>
      <c r="N476" s="532"/>
      <c r="O476" s="532"/>
      <c r="P476" s="90"/>
      <c r="Q476" s="532"/>
      <c r="R476" s="219"/>
      <c r="S476" s="532"/>
      <c r="T476" s="90"/>
      <c r="U476" s="532"/>
      <c r="V476" s="532"/>
      <c r="W476" s="532"/>
      <c r="X476" s="532"/>
      <c r="Y476" s="532"/>
      <c r="Z476" s="532"/>
      <c r="AA476" s="532"/>
      <c r="AB476" s="532"/>
      <c r="AC476" s="532"/>
      <c r="AD476" s="532"/>
      <c r="AE476" s="532"/>
      <c r="AF476" s="532"/>
      <c r="AG476" s="532"/>
      <c r="AH476" s="532"/>
      <c r="AI476" s="532"/>
      <c r="AJ476" s="532"/>
    </row>
    <row r="477" spans="13:36" ht="12.95" customHeight="1" x14ac:dyDescent="0.2">
      <c r="M477" s="532"/>
      <c r="N477" s="532"/>
      <c r="O477" s="532"/>
      <c r="P477" s="90"/>
      <c r="Q477" s="532"/>
      <c r="R477" s="219"/>
      <c r="S477" s="532"/>
      <c r="T477" s="90"/>
      <c r="U477" s="532"/>
      <c r="V477" s="532"/>
      <c r="W477" s="532"/>
      <c r="X477" s="532"/>
      <c r="Y477" s="532"/>
      <c r="Z477" s="532"/>
      <c r="AA477" s="532"/>
      <c r="AB477" s="532"/>
      <c r="AC477" s="532"/>
      <c r="AD477" s="532"/>
      <c r="AE477" s="532"/>
      <c r="AF477" s="532"/>
      <c r="AG477" s="532"/>
      <c r="AH477" s="532"/>
      <c r="AI477" s="532"/>
      <c r="AJ477" s="532"/>
    </row>
    <row r="478" spans="13:36" ht="12.95" customHeight="1" x14ac:dyDescent="0.2">
      <c r="M478" s="532"/>
      <c r="N478" s="532"/>
      <c r="O478" s="532"/>
      <c r="P478" s="90"/>
      <c r="Q478" s="532"/>
      <c r="R478" s="219"/>
      <c r="S478" s="532"/>
      <c r="T478" s="90"/>
      <c r="U478" s="532"/>
      <c r="V478" s="532"/>
      <c r="W478" s="532"/>
      <c r="X478" s="532"/>
      <c r="Y478" s="532"/>
      <c r="Z478" s="532"/>
      <c r="AA478" s="532"/>
      <c r="AB478" s="532"/>
      <c r="AC478" s="532"/>
      <c r="AD478" s="532"/>
      <c r="AE478" s="532"/>
      <c r="AF478" s="532"/>
      <c r="AG478" s="532"/>
      <c r="AH478" s="532"/>
      <c r="AI478" s="532"/>
      <c r="AJ478" s="532"/>
    </row>
    <row r="479" spans="13:36" ht="12.95" customHeight="1" x14ac:dyDescent="0.2">
      <c r="M479" s="532"/>
      <c r="N479" s="532"/>
      <c r="O479" s="532"/>
      <c r="P479" s="90"/>
      <c r="Q479" s="532"/>
      <c r="R479" s="219"/>
      <c r="S479" s="532"/>
      <c r="T479" s="90"/>
      <c r="U479" s="532"/>
      <c r="V479" s="532"/>
      <c r="W479" s="532"/>
      <c r="X479" s="532"/>
      <c r="Y479" s="532"/>
      <c r="Z479" s="532"/>
      <c r="AA479" s="532"/>
      <c r="AB479" s="532"/>
      <c r="AC479" s="532"/>
      <c r="AD479" s="532"/>
      <c r="AE479" s="532"/>
      <c r="AF479" s="532"/>
      <c r="AG479" s="532"/>
      <c r="AH479" s="532"/>
      <c r="AI479" s="532"/>
      <c r="AJ479" s="532"/>
    </row>
    <row r="480" spans="13:36" ht="12.95" customHeight="1" x14ac:dyDescent="0.2">
      <c r="M480" s="532"/>
      <c r="N480" s="532"/>
      <c r="O480" s="532"/>
      <c r="P480" s="90"/>
      <c r="Q480" s="532"/>
      <c r="R480" s="219"/>
      <c r="S480" s="532"/>
      <c r="T480" s="90"/>
      <c r="U480" s="532"/>
      <c r="V480" s="532"/>
      <c r="W480" s="532"/>
      <c r="X480" s="532"/>
      <c r="Y480" s="532"/>
      <c r="Z480" s="532"/>
      <c r="AA480" s="532"/>
      <c r="AB480" s="532"/>
      <c r="AC480" s="532"/>
      <c r="AD480" s="532"/>
      <c r="AE480" s="532"/>
      <c r="AF480" s="532"/>
      <c r="AG480" s="532"/>
      <c r="AH480" s="532"/>
      <c r="AI480" s="532"/>
      <c r="AJ480" s="532"/>
    </row>
    <row r="481" spans="13:36" ht="12.95" customHeight="1" x14ac:dyDescent="0.2">
      <c r="M481" s="532"/>
      <c r="N481" s="532"/>
      <c r="O481" s="532"/>
      <c r="P481" s="90"/>
      <c r="Q481" s="532"/>
      <c r="R481" s="219"/>
      <c r="S481" s="532"/>
      <c r="T481" s="90"/>
      <c r="U481" s="532"/>
      <c r="V481" s="532"/>
      <c r="W481" s="532"/>
      <c r="X481" s="532"/>
      <c r="Y481" s="532"/>
      <c r="Z481" s="532"/>
      <c r="AA481" s="532"/>
      <c r="AB481" s="532"/>
      <c r="AC481" s="532"/>
      <c r="AD481" s="532"/>
      <c r="AE481" s="532"/>
      <c r="AF481" s="532"/>
      <c r="AG481" s="532"/>
      <c r="AH481" s="532"/>
      <c r="AI481" s="532"/>
      <c r="AJ481" s="532"/>
    </row>
    <row r="482" spans="13:36" ht="12.95" customHeight="1" x14ac:dyDescent="0.2">
      <c r="M482" s="532"/>
      <c r="N482" s="532"/>
      <c r="O482" s="532"/>
      <c r="P482" s="90"/>
      <c r="Q482" s="532"/>
      <c r="R482" s="219"/>
      <c r="S482" s="532"/>
      <c r="T482" s="90"/>
      <c r="U482" s="532"/>
      <c r="V482" s="532"/>
      <c r="W482" s="532"/>
      <c r="X482" s="532"/>
      <c r="Y482" s="532"/>
      <c r="Z482" s="532"/>
      <c r="AA482" s="532"/>
      <c r="AB482" s="532"/>
      <c r="AC482" s="532"/>
      <c r="AD482" s="532"/>
      <c r="AE482" s="532"/>
      <c r="AF482" s="532"/>
      <c r="AG482" s="532"/>
      <c r="AH482" s="532"/>
      <c r="AI482" s="532"/>
      <c r="AJ482" s="532"/>
    </row>
    <row r="483" spans="13:36" ht="12.95" customHeight="1" x14ac:dyDescent="0.2">
      <c r="M483" s="532"/>
      <c r="N483" s="532"/>
      <c r="O483" s="532"/>
      <c r="P483" s="90"/>
      <c r="Q483" s="532"/>
      <c r="R483" s="219"/>
      <c r="S483" s="532"/>
      <c r="T483" s="90"/>
      <c r="U483" s="532"/>
      <c r="V483" s="532"/>
      <c r="W483" s="532"/>
      <c r="X483" s="532"/>
      <c r="Y483" s="532"/>
      <c r="Z483" s="532"/>
      <c r="AA483" s="532"/>
      <c r="AB483" s="532"/>
      <c r="AC483" s="532"/>
      <c r="AD483" s="532"/>
      <c r="AE483" s="532"/>
      <c r="AF483" s="532"/>
      <c r="AG483" s="532"/>
      <c r="AH483" s="532"/>
      <c r="AI483" s="532"/>
      <c r="AJ483" s="532"/>
    </row>
    <row r="484" spans="13:36" ht="12.95" customHeight="1" x14ac:dyDescent="0.2">
      <c r="M484" s="532"/>
      <c r="N484" s="532"/>
      <c r="O484" s="532"/>
      <c r="P484" s="90"/>
      <c r="Q484" s="532"/>
      <c r="R484" s="219"/>
      <c r="S484" s="532"/>
      <c r="T484" s="90"/>
      <c r="U484" s="532"/>
      <c r="V484" s="532"/>
      <c r="W484" s="532"/>
      <c r="X484" s="532"/>
      <c r="Y484" s="532"/>
      <c r="Z484" s="532"/>
      <c r="AA484" s="532"/>
      <c r="AB484" s="532"/>
      <c r="AC484" s="532"/>
      <c r="AD484" s="532"/>
      <c r="AE484" s="532"/>
      <c r="AF484" s="532"/>
      <c r="AG484" s="532"/>
      <c r="AH484" s="532"/>
      <c r="AI484" s="532"/>
      <c r="AJ484" s="532"/>
    </row>
    <row r="485" spans="13:36" ht="12.95" customHeight="1" x14ac:dyDescent="0.2">
      <c r="M485" s="532"/>
      <c r="N485" s="532"/>
      <c r="O485" s="532"/>
      <c r="P485" s="90"/>
      <c r="Q485" s="532"/>
      <c r="R485" s="219"/>
      <c r="S485" s="532"/>
      <c r="T485" s="90"/>
      <c r="U485" s="532"/>
      <c r="V485" s="532"/>
      <c r="W485" s="532"/>
      <c r="X485" s="532"/>
      <c r="Y485" s="532"/>
      <c r="Z485" s="532"/>
      <c r="AA485" s="532"/>
      <c r="AB485" s="532"/>
      <c r="AC485" s="532"/>
      <c r="AD485" s="532"/>
      <c r="AE485" s="532"/>
      <c r="AF485" s="532"/>
      <c r="AG485" s="532"/>
      <c r="AH485" s="532"/>
      <c r="AI485" s="532"/>
      <c r="AJ485" s="532"/>
    </row>
    <row r="486" spans="13:36" ht="12.95" customHeight="1" x14ac:dyDescent="0.2">
      <c r="M486" s="532"/>
      <c r="N486" s="532"/>
      <c r="O486" s="532"/>
      <c r="P486" s="90"/>
      <c r="Q486" s="532"/>
      <c r="R486" s="219"/>
      <c r="S486" s="532"/>
      <c r="T486" s="90"/>
      <c r="U486" s="532"/>
      <c r="V486" s="532"/>
      <c r="W486" s="532"/>
      <c r="X486" s="532"/>
      <c r="Y486" s="532"/>
      <c r="Z486" s="532"/>
      <c r="AA486" s="532"/>
      <c r="AB486" s="532"/>
      <c r="AC486" s="532"/>
      <c r="AD486" s="532"/>
      <c r="AE486" s="532"/>
      <c r="AF486" s="532"/>
      <c r="AG486" s="532"/>
      <c r="AH486" s="532"/>
      <c r="AI486" s="532"/>
      <c r="AJ486" s="532"/>
    </row>
    <row r="487" spans="13:36" ht="12.95" customHeight="1" x14ac:dyDescent="0.2">
      <c r="M487" s="532"/>
      <c r="N487" s="532"/>
      <c r="O487" s="532"/>
      <c r="P487" s="90"/>
      <c r="Q487" s="532"/>
      <c r="R487" s="219"/>
      <c r="S487" s="532"/>
      <c r="T487" s="90"/>
      <c r="U487" s="532"/>
      <c r="V487" s="532"/>
      <c r="W487" s="532"/>
      <c r="X487" s="532"/>
      <c r="Y487" s="532"/>
      <c r="Z487" s="532"/>
      <c r="AA487" s="532"/>
      <c r="AB487" s="532"/>
      <c r="AC487" s="532"/>
      <c r="AD487" s="532"/>
      <c r="AE487" s="532"/>
      <c r="AF487" s="532"/>
      <c r="AG487" s="532"/>
      <c r="AH487" s="532"/>
      <c r="AI487" s="532"/>
      <c r="AJ487" s="532"/>
    </row>
    <row r="488" spans="13:36" ht="12.95" customHeight="1" x14ac:dyDescent="0.2">
      <c r="M488" s="532"/>
      <c r="N488" s="532"/>
      <c r="O488" s="532"/>
      <c r="P488" s="90"/>
      <c r="Q488" s="532"/>
      <c r="R488" s="219"/>
      <c r="S488" s="532"/>
      <c r="T488" s="90"/>
      <c r="U488" s="532"/>
      <c r="V488" s="532"/>
      <c r="W488" s="532"/>
      <c r="X488" s="532"/>
      <c r="Y488" s="532"/>
      <c r="Z488" s="532"/>
      <c r="AA488" s="532"/>
      <c r="AB488" s="532"/>
      <c r="AC488" s="532"/>
      <c r="AD488" s="532"/>
      <c r="AE488" s="532"/>
      <c r="AF488" s="532"/>
      <c r="AG488" s="532"/>
      <c r="AH488" s="532"/>
      <c r="AI488" s="532"/>
      <c r="AJ488" s="532"/>
    </row>
    <row r="489" spans="13:36" ht="12.95" customHeight="1" x14ac:dyDescent="0.2">
      <c r="M489" s="532"/>
      <c r="N489" s="532"/>
      <c r="O489" s="532"/>
      <c r="P489" s="90"/>
      <c r="Q489" s="532"/>
      <c r="R489" s="219"/>
      <c r="S489" s="532"/>
      <c r="T489" s="90"/>
      <c r="U489" s="532"/>
      <c r="V489" s="532"/>
      <c r="W489" s="532"/>
      <c r="X489" s="532"/>
      <c r="Y489" s="532"/>
      <c r="Z489" s="532"/>
      <c r="AA489" s="532"/>
      <c r="AB489" s="532"/>
      <c r="AC489" s="532"/>
      <c r="AD489" s="532"/>
      <c r="AE489" s="532"/>
      <c r="AF489" s="532"/>
      <c r="AG489" s="532"/>
      <c r="AH489" s="532"/>
      <c r="AI489" s="532"/>
      <c r="AJ489" s="532"/>
    </row>
    <row r="490" spans="13:36" ht="12.95" customHeight="1" x14ac:dyDescent="0.2">
      <c r="M490" s="532"/>
      <c r="N490" s="532"/>
      <c r="O490" s="532"/>
      <c r="P490" s="90"/>
      <c r="Q490" s="532"/>
      <c r="R490" s="219"/>
      <c r="S490" s="532"/>
      <c r="T490" s="90"/>
      <c r="U490" s="532"/>
      <c r="V490" s="532"/>
      <c r="W490" s="532"/>
      <c r="X490" s="532"/>
      <c r="Y490" s="532"/>
      <c r="Z490" s="532"/>
      <c r="AA490" s="532"/>
      <c r="AB490" s="532"/>
      <c r="AC490" s="532"/>
      <c r="AD490" s="532"/>
      <c r="AE490" s="532"/>
      <c r="AF490" s="532"/>
      <c r="AG490" s="532"/>
      <c r="AH490" s="532"/>
      <c r="AI490" s="532"/>
      <c r="AJ490" s="532"/>
    </row>
    <row r="491" spans="13:36" ht="12.95" customHeight="1" x14ac:dyDescent="0.2">
      <c r="M491" s="532"/>
      <c r="N491" s="532"/>
      <c r="O491" s="532"/>
      <c r="P491" s="90"/>
      <c r="Q491" s="532"/>
      <c r="R491" s="219"/>
      <c r="S491" s="532"/>
      <c r="T491" s="90"/>
      <c r="U491" s="532"/>
      <c r="V491" s="532"/>
      <c r="W491" s="532"/>
      <c r="X491" s="532"/>
      <c r="Y491" s="532"/>
      <c r="Z491" s="532"/>
      <c r="AA491" s="532"/>
      <c r="AB491" s="532"/>
      <c r="AC491" s="532"/>
      <c r="AD491" s="532"/>
      <c r="AE491" s="532"/>
      <c r="AF491" s="532"/>
      <c r="AG491" s="532"/>
      <c r="AH491" s="532"/>
      <c r="AI491" s="532"/>
      <c r="AJ491" s="532"/>
    </row>
    <row r="492" spans="13:36" ht="12.95" customHeight="1" x14ac:dyDescent="0.2">
      <c r="M492" s="532"/>
      <c r="N492" s="532"/>
      <c r="O492" s="532"/>
      <c r="P492" s="90"/>
      <c r="Q492" s="532"/>
      <c r="R492" s="219"/>
      <c r="S492" s="532"/>
      <c r="T492" s="90"/>
      <c r="U492" s="532"/>
      <c r="V492" s="532"/>
      <c r="W492" s="532"/>
      <c r="X492" s="532"/>
      <c r="Y492" s="532"/>
      <c r="Z492" s="532"/>
      <c r="AA492" s="532"/>
      <c r="AB492" s="532"/>
      <c r="AC492" s="532"/>
      <c r="AD492" s="532"/>
      <c r="AE492" s="532"/>
      <c r="AF492" s="532"/>
      <c r="AG492" s="532"/>
      <c r="AH492" s="532"/>
      <c r="AI492" s="532"/>
      <c r="AJ492" s="532"/>
    </row>
    <row r="493" spans="13:36" ht="12.95" customHeight="1" x14ac:dyDescent="0.2">
      <c r="M493" s="532"/>
      <c r="N493" s="532"/>
      <c r="O493" s="532"/>
      <c r="P493" s="90"/>
      <c r="Q493" s="532"/>
      <c r="R493" s="219"/>
      <c r="S493" s="532"/>
      <c r="T493" s="90"/>
      <c r="U493" s="532"/>
      <c r="V493" s="532"/>
      <c r="W493" s="532"/>
      <c r="X493" s="532"/>
      <c r="Y493" s="532"/>
      <c r="Z493" s="532"/>
      <c r="AA493" s="532"/>
      <c r="AB493" s="532"/>
      <c r="AC493" s="532"/>
      <c r="AD493" s="532"/>
      <c r="AE493" s="532"/>
      <c r="AF493" s="532"/>
      <c r="AG493" s="532"/>
      <c r="AH493" s="532"/>
      <c r="AI493" s="532"/>
      <c r="AJ493" s="532"/>
    </row>
    <row r="494" spans="13:36" ht="12.95" customHeight="1" x14ac:dyDescent="0.2">
      <c r="M494" s="532"/>
      <c r="N494" s="532"/>
      <c r="O494" s="532"/>
      <c r="P494" s="90"/>
      <c r="Q494" s="532"/>
      <c r="R494" s="219"/>
      <c r="S494" s="532"/>
      <c r="T494" s="90"/>
      <c r="U494" s="532"/>
      <c r="V494" s="532"/>
      <c r="W494" s="532"/>
      <c r="X494" s="532"/>
      <c r="Y494" s="532"/>
      <c r="Z494" s="532"/>
      <c r="AA494" s="532"/>
      <c r="AB494" s="532"/>
      <c r="AC494" s="532"/>
      <c r="AD494" s="532"/>
      <c r="AE494" s="532"/>
      <c r="AF494" s="532"/>
      <c r="AG494" s="532"/>
      <c r="AH494" s="532"/>
      <c r="AI494" s="532"/>
      <c r="AJ494" s="532"/>
    </row>
    <row r="495" spans="13:36" ht="12.95" customHeight="1" x14ac:dyDescent="0.2">
      <c r="M495" s="532"/>
      <c r="N495" s="532"/>
      <c r="O495" s="532"/>
      <c r="P495" s="90"/>
      <c r="Q495" s="532"/>
      <c r="R495" s="219"/>
      <c r="S495" s="532"/>
      <c r="T495" s="90"/>
      <c r="U495" s="532"/>
      <c r="V495" s="532"/>
      <c r="W495" s="532"/>
      <c r="X495" s="532"/>
      <c r="Y495" s="532"/>
      <c r="Z495" s="532"/>
      <c r="AA495" s="532"/>
      <c r="AB495" s="532"/>
      <c r="AC495" s="532"/>
      <c r="AD495" s="532"/>
      <c r="AE495" s="532"/>
      <c r="AF495" s="532"/>
      <c r="AG495" s="532"/>
      <c r="AH495" s="532"/>
      <c r="AI495" s="532"/>
      <c r="AJ495" s="532"/>
    </row>
    <row r="496" spans="13:36" ht="12.95" customHeight="1" x14ac:dyDescent="0.2">
      <c r="M496" s="532"/>
      <c r="N496" s="532"/>
      <c r="O496" s="532"/>
      <c r="P496" s="90"/>
      <c r="Q496" s="532"/>
      <c r="R496" s="219"/>
      <c r="S496" s="532"/>
      <c r="T496" s="90"/>
      <c r="U496" s="532"/>
      <c r="V496" s="532"/>
      <c r="W496" s="532"/>
      <c r="X496" s="532"/>
      <c r="Y496" s="532"/>
      <c r="Z496" s="532"/>
      <c r="AA496" s="532"/>
      <c r="AB496" s="532"/>
      <c r="AC496" s="532"/>
      <c r="AD496" s="532"/>
      <c r="AE496" s="532"/>
      <c r="AF496" s="532"/>
      <c r="AG496" s="532"/>
      <c r="AH496" s="532"/>
      <c r="AI496" s="532"/>
      <c r="AJ496" s="532"/>
    </row>
    <row r="497" spans="13:36" ht="12.95" customHeight="1" x14ac:dyDescent="0.2">
      <c r="M497" s="532"/>
      <c r="N497" s="532"/>
      <c r="O497" s="532"/>
      <c r="P497" s="90"/>
      <c r="Q497" s="532"/>
      <c r="R497" s="219"/>
      <c r="S497" s="532"/>
      <c r="T497" s="90"/>
      <c r="U497" s="532"/>
      <c r="V497" s="532"/>
      <c r="W497" s="532"/>
      <c r="X497" s="532"/>
      <c r="Y497" s="532"/>
      <c r="Z497" s="532"/>
      <c r="AA497" s="532"/>
      <c r="AB497" s="532"/>
      <c r="AC497" s="532"/>
      <c r="AD497" s="532"/>
      <c r="AE497" s="532"/>
      <c r="AF497" s="532"/>
      <c r="AG497" s="532"/>
      <c r="AH497" s="532"/>
      <c r="AI497" s="532"/>
      <c r="AJ497" s="532"/>
    </row>
    <row r="498" spans="13:36" ht="12.95" customHeight="1" x14ac:dyDescent="0.2">
      <c r="M498" s="532"/>
      <c r="N498" s="532"/>
      <c r="O498" s="532"/>
      <c r="P498" s="90"/>
      <c r="Q498" s="532"/>
      <c r="R498" s="219"/>
      <c r="S498" s="532"/>
      <c r="T498" s="90"/>
      <c r="U498" s="532"/>
      <c r="V498" s="532"/>
      <c r="W498" s="532"/>
      <c r="X498" s="532"/>
      <c r="Y498" s="532"/>
      <c r="Z498" s="532"/>
      <c r="AA498" s="532"/>
      <c r="AB498" s="532"/>
      <c r="AC498" s="532"/>
      <c r="AD498" s="532"/>
      <c r="AE498" s="532"/>
      <c r="AF498" s="532"/>
      <c r="AG498" s="532"/>
      <c r="AH498" s="532"/>
      <c r="AI498" s="532"/>
      <c r="AJ498" s="532"/>
    </row>
    <row r="499" spans="13:36" ht="12.95" customHeight="1" x14ac:dyDescent="0.2">
      <c r="M499" s="532"/>
      <c r="N499" s="532"/>
      <c r="O499" s="532"/>
      <c r="P499" s="90"/>
      <c r="Q499" s="532"/>
      <c r="R499" s="219"/>
      <c r="S499" s="532"/>
      <c r="T499" s="90"/>
      <c r="U499" s="532"/>
      <c r="V499" s="532"/>
      <c r="W499" s="532"/>
      <c r="X499" s="532"/>
      <c r="Y499" s="532"/>
      <c r="Z499" s="532"/>
      <c r="AA499" s="532"/>
      <c r="AB499" s="532"/>
      <c r="AC499" s="532"/>
      <c r="AD499" s="532"/>
      <c r="AE499" s="532"/>
      <c r="AF499" s="532"/>
      <c r="AG499" s="532"/>
      <c r="AH499" s="532"/>
      <c r="AI499" s="532"/>
      <c r="AJ499" s="532"/>
    </row>
    <row r="500" spans="13:36" ht="12.95" customHeight="1" x14ac:dyDescent="0.2">
      <c r="M500" s="532"/>
      <c r="N500" s="532"/>
      <c r="O500" s="532"/>
      <c r="P500" s="90"/>
      <c r="Q500" s="532"/>
      <c r="R500" s="219"/>
      <c r="S500" s="532"/>
      <c r="T500" s="90"/>
      <c r="U500" s="532"/>
      <c r="V500" s="532"/>
      <c r="W500" s="532"/>
      <c r="X500" s="532"/>
      <c r="Y500" s="532"/>
      <c r="Z500" s="532"/>
      <c r="AA500" s="532"/>
      <c r="AB500" s="532"/>
      <c r="AC500" s="532"/>
      <c r="AD500" s="532"/>
      <c r="AE500" s="532"/>
      <c r="AF500" s="532"/>
      <c r="AG500" s="532"/>
      <c r="AH500" s="532"/>
      <c r="AI500" s="532"/>
      <c r="AJ500" s="532"/>
    </row>
    <row r="501" spans="13:36" ht="12.95" customHeight="1" x14ac:dyDescent="0.2">
      <c r="M501" s="532"/>
      <c r="N501" s="532"/>
      <c r="O501" s="532"/>
      <c r="P501" s="90"/>
      <c r="Q501" s="532"/>
      <c r="R501" s="219"/>
      <c r="S501" s="532"/>
      <c r="T501" s="90"/>
      <c r="U501" s="532"/>
      <c r="V501" s="532"/>
      <c r="W501" s="532"/>
      <c r="X501" s="532"/>
      <c r="Y501" s="532"/>
      <c r="Z501" s="532"/>
      <c r="AA501" s="532"/>
      <c r="AB501" s="532"/>
      <c r="AC501" s="532"/>
      <c r="AD501" s="532"/>
      <c r="AE501" s="532"/>
      <c r="AF501" s="532"/>
      <c r="AG501" s="532"/>
      <c r="AH501" s="532"/>
      <c r="AI501" s="532"/>
      <c r="AJ501" s="532"/>
    </row>
    <row r="502" spans="13:36" ht="12.95" customHeight="1" x14ac:dyDescent="0.2">
      <c r="M502" s="532"/>
      <c r="N502" s="532"/>
      <c r="O502" s="532"/>
      <c r="P502" s="90"/>
      <c r="Q502" s="532"/>
      <c r="R502" s="219"/>
      <c r="S502" s="532"/>
      <c r="T502" s="90"/>
      <c r="U502" s="532"/>
      <c r="V502" s="532"/>
      <c r="W502" s="532"/>
      <c r="X502" s="532"/>
      <c r="Y502" s="532"/>
      <c r="Z502" s="532"/>
      <c r="AA502" s="532"/>
      <c r="AB502" s="532"/>
      <c r="AC502" s="532"/>
      <c r="AD502" s="532"/>
      <c r="AE502" s="532"/>
      <c r="AF502" s="532"/>
      <c r="AG502" s="532"/>
      <c r="AH502" s="532"/>
      <c r="AI502" s="532"/>
      <c r="AJ502" s="532"/>
    </row>
    <row r="503" spans="13:36" ht="12.95" customHeight="1" x14ac:dyDescent="0.2">
      <c r="M503" s="532"/>
      <c r="N503" s="532"/>
      <c r="O503" s="532"/>
      <c r="P503" s="90"/>
      <c r="Q503" s="532"/>
      <c r="R503" s="219"/>
      <c r="S503" s="532"/>
      <c r="T503" s="90"/>
      <c r="U503" s="532"/>
      <c r="V503" s="532"/>
      <c r="W503" s="532"/>
      <c r="X503" s="532"/>
      <c r="Y503" s="532"/>
      <c r="Z503" s="532"/>
      <c r="AA503" s="532"/>
      <c r="AB503" s="532"/>
      <c r="AC503" s="532"/>
      <c r="AD503" s="532"/>
      <c r="AE503" s="532"/>
      <c r="AF503" s="532"/>
      <c r="AG503" s="532"/>
      <c r="AH503" s="532"/>
      <c r="AI503" s="532"/>
      <c r="AJ503" s="532"/>
    </row>
    <row r="504" spans="13:36" ht="12.95" customHeight="1" x14ac:dyDescent="0.2">
      <c r="M504" s="532"/>
      <c r="N504" s="532"/>
      <c r="O504" s="532"/>
      <c r="P504" s="90"/>
      <c r="Q504" s="532"/>
      <c r="R504" s="219"/>
      <c r="S504" s="532"/>
      <c r="T504" s="90"/>
      <c r="U504" s="532"/>
      <c r="V504" s="532"/>
      <c r="W504" s="532"/>
      <c r="X504" s="532"/>
      <c r="Y504" s="532"/>
      <c r="Z504" s="532"/>
      <c r="AA504" s="532"/>
      <c r="AB504" s="532"/>
      <c r="AC504" s="532"/>
      <c r="AD504" s="532"/>
      <c r="AE504" s="532"/>
      <c r="AF504" s="532"/>
      <c r="AG504" s="532"/>
      <c r="AH504" s="532"/>
      <c r="AI504" s="532"/>
      <c r="AJ504" s="532"/>
    </row>
    <row r="505" spans="13:36" ht="12.95" customHeight="1" x14ac:dyDescent="0.2">
      <c r="M505" s="532"/>
      <c r="N505" s="532"/>
      <c r="O505" s="532"/>
      <c r="P505" s="90"/>
      <c r="Q505" s="532"/>
      <c r="R505" s="219"/>
      <c r="S505" s="532"/>
      <c r="T505" s="90"/>
      <c r="U505" s="532"/>
      <c r="V505" s="532"/>
      <c r="W505" s="532"/>
      <c r="X505" s="532"/>
      <c r="Y505" s="532"/>
      <c r="Z505" s="532"/>
      <c r="AA505" s="532"/>
      <c r="AB505" s="532"/>
      <c r="AC505" s="532"/>
      <c r="AD505" s="532"/>
      <c r="AE505" s="532"/>
      <c r="AF505" s="532"/>
      <c r="AG505" s="532"/>
      <c r="AH505" s="532"/>
      <c r="AI505" s="532"/>
      <c r="AJ505" s="532"/>
    </row>
    <row r="506" spans="13:36" ht="12.95" customHeight="1" x14ac:dyDescent="0.2">
      <c r="M506" s="532"/>
      <c r="N506" s="532"/>
      <c r="O506" s="532"/>
      <c r="P506" s="90"/>
      <c r="Q506" s="532"/>
      <c r="R506" s="219"/>
      <c r="S506" s="532"/>
      <c r="T506" s="90"/>
      <c r="U506" s="532"/>
      <c r="V506" s="532"/>
      <c r="W506" s="532"/>
      <c r="X506" s="532"/>
      <c r="Y506" s="532"/>
      <c r="Z506" s="532"/>
      <c r="AA506" s="532"/>
      <c r="AB506" s="532"/>
      <c r="AC506" s="532"/>
      <c r="AD506" s="532"/>
      <c r="AE506" s="532"/>
      <c r="AF506" s="532"/>
      <c r="AG506" s="532"/>
      <c r="AH506" s="532"/>
      <c r="AI506" s="532"/>
      <c r="AJ506" s="532"/>
    </row>
    <row r="507" spans="13:36" ht="12.95" customHeight="1" x14ac:dyDescent="0.2">
      <c r="M507" s="532"/>
      <c r="N507" s="532"/>
      <c r="O507" s="532"/>
      <c r="P507" s="90"/>
      <c r="Q507" s="532"/>
      <c r="R507" s="219"/>
      <c r="S507" s="532"/>
      <c r="T507" s="90"/>
      <c r="U507" s="532"/>
      <c r="V507" s="532"/>
      <c r="W507" s="532"/>
      <c r="X507" s="532"/>
      <c r="Y507" s="532"/>
      <c r="Z507" s="532"/>
      <c r="AA507" s="532"/>
      <c r="AB507" s="532"/>
      <c r="AC507" s="532"/>
      <c r="AD507" s="532"/>
      <c r="AE507" s="532"/>
      <c r="AF507" s="532"/>
      <c r="AG507" s="532"/>
      <c r="AH507" s="532"/>
      <c r="AI507" s="532"/>
      <c r="AJ507" s="532"/>
    </row>
    <row r="508" spans="13:36" ht="12.95" customHeight="1" x14ac:dyDescent="0.2">
      <c r="M508" s="532"/>
      <c r="N508" s="532"/>
      <c r="O508" s="532"/>
      <c r="P508" s="90"/>
      <c r="Q508" s="532"/>
      <c r="R508" s="219"/>
      <c r="S508" s="532"/>
      <c r="T508" s="90"/>
      <c r="U508" s="532"/>
      <c r="V508" s="532"/>
      <c r="W508" s="532"/>
      <c r="X508" s="532"/>
      <c r="Y508" s="532"/>
      <c r="Z508" s="532"/>
      <c r="AA508" s="532"/>
      <c r="AB508" s="532"/>
      <c r="AC508" s="532"/>
      <c r="AD508" s="532"/>
      <c r="AE508" s="532"/>
      <c r="AF508" s="532"/>
      <c r="AG508" s="532"/>
      <c r="AH508" s="532"/>
      <c r="AI508" s="532"/>
      <c r="AJ508" s="532"/>
    </row>
    <row r="509" spans="13:36" ht="12.95" customHeight="1" x14ac:dyDescent="0.2">
      <c r="M509" s="532"/>
      <c r="N509" s="532"/>
      <c r="O509" s="532"/>
      <c r="P509" s="90"/>
      <c r="Q509" s="532"/>
      <c r="R509" s="219"/>
      <c r="S509" s="532"/>
      <c r="T509" s="90"/>
      <c r="U509" s="532"/>
      <c r="V509" s="532"/>
      <c r="W509" s="532"/>
      <c r="X509" s="532"/>
      <c r="Y509" s="532"/>
      <c r="Z509" s="532"/>
      <c r="AA509" s="532"/>
      <c r="AB509" s="532"/>
      <c r="AC509" s="532"/>
      <c r="AD509" s="532"/>
      <c r="AE509" s="532"/>
      <c r="AF509" s="532"/>
      <c r="AG509" s="532"/>
      <c r="AH509" s="532"/>
      <c r="AI509" s="532"/>
      <c r="AJ509" s="532"/>
    </row>
    <row r="510" spans="13:36" ht="12.95" customHeight="1" x14ac:dyDescent="0.2">
      <c r="M510" s="532"/>
      <c r="N510" s="532"/>
      <c r="O510" s="532"/>
      <c r="P510" s="90"/>
      <c r="Q510" s="532"/>
      <c r="R510" s="219"/>
      <c r="S510" s="532"/>
      <c r="T510" s="90"/>
      <c r="U510" s="532"/>
      <c r="V510" s="532"/>
      <c r="W510" s="532"/>
      <c r="X510" s="532"/>
      <c r="Y510" s="532"/>
      <c r="Z510" s="532"/>
      <c r="AA510" s="532"/>
      <c r="AB510" s="532"/>
      <c r="AC510" s="532"/>
      <c r="AD510" s="532"/>
      <c r="AE510" s="532"/>
      <c r="AF510" s="532"/>
      <c r="AG510" s="532"/>
      <c r="AH510" s="532"/>
      <c r="AI510" s="532"/>
      <c r="AJ510" s="532"/>
    </row>
    <row r="511" spans="13:36" ht="12.95" customHeight="1" x14ac:dyDescent="0.2">
      <c r="M511" s="532"/>
      <c r="N511" s="532"/>
      <c r="O511" s="532"/>
      <c r="P511" s="90"/>
      <c r="Q511" s="532"/>
      <c r="R511" s="219"/>
      <c r="S511" s="532"/>
      <c r="T511" s="90"/>
      <c r="U511" s="532"/>
      <c r="V511" s="532"/>
      <c r="W511" s="532"/>
      <c r="X511" s="532"/>
      <c r="Y511" s="532"/>
      <c r="Z511" s="532"/>
      <c r="AA511" s="532"/>
      <c r="AB511" s="532"/>
      <c r="AC511" s="532"/>
      <c r="AD511" s="532"/>
      <c r="AE511" s="532"/>
      <c r="AF511" s="532"/>
      <c r="AG511" s="532"/>
      <c r="AH511" s="532"/>
      <c r="AI511" s="532"/>
      <c r="AJ511" s="532"/>
    </row>
    <row r="512" spans="13:36" ht="12.95" customHeight="1" x14ac:dyDescent="0.2">
      <c r="M512" s="532"/>
      <c r="N512" s="532"/>
      <c r="O512" s="532"/>
      <c r="P512" s="90"/>
      <c r="Q512" s="532"/>
      <c r="R512" s="219"/>
      <c r="S512" s="532"/>
      <c r="T512" s="90"/>
      <c r="U512" s="532"/>
      <c r="V512" s="532"/>
      <c r="W512" s="532"/>
      <c r="X512" s="532"/>
      <c r="Y512" s="532"/>
      <c r="Z512" s="532"/>
      <c r="AA512" s="532"/>
      <c r="AB512" s="532"/>
      <c r="AC512" s="532"/>
      <c r="AD512" s="532"/>
      <c r="AE512" s="532"/>
      <c r="AF512" s="532"/>
      <c r="AG512" s="532"/>
      <c r="AH512" s="532"/>
      <c r="AI512" s="532"/>
      <c r="AJ512" s="532"/>
    </row>
    <row r="513" spans="13:36" ht="12.95" customHeight="1" x14ac:dyDescent="0.2">
      <c r="M513" s="532"/>
      <c r="N513" s="532"/>
      <c r="O513" s="532"/>
      <c r="P513" s="90"/>
      <c r="Q513" s="532"/>
      <c r="R513" s="219"/>
      <c r="S513" s="532"/>
      <c r="T513" s="90"/>
      <c r="U513" s="532"/>
      <c r="V513" s="532"/>
      <c r="W513" s="532"/>
      <c r="X513" s="532"/>
      <c r="Y513" s="532"/>
      <c r="Z513" s="532"/>
      <c r="AA513" s="532"/>
      <c r="AB513" s="532"/>
      <c r="AC513" s="532"/>
      <c r="AD513" s="532"/>
      <c r="AE513" s="532"/>
      <c r="AF513" s="532"/>
      <c r="AG513" s="532"/>
      <c r="AH513" s="532"/>
      <c r="AI513" s="532"/>
      <c r="AJ513" s="532"/>
    </row>
    <row r="514" spans="13:36" ht="12.95" customHeight="1" x14ac:dyDescent="0.2">
      <c r="M514" s="532"/>
      <c r="N514" s="532"/>
      <c r="O514" s="532"/>
      <c r="P514" s="90"/>
      <c r="Q514" s="532"/>
      <c r="R514" s="219"/>
      <c r="S514" s="532"/>
      <c r="T514" s="90"/>
      <c r="U514" s="532"/>
      <c r="V514" s="532"/>
      <c r="W514" s="532"/>
      <c r="X514" s="532"/>
      <c r="Y514" s="532"/>
      <c r="Z514" s="532"/>
      <c r="AA514" s="532"/>
      <c r="AB514" s="532"/>
      <c r="AC514" s="532"/>
      <c r="AD514" s="532"/>
      <c r="AE514" s="532"/>
      <c r="AF514" s="532"/>
      <c r="AG514" s="532"/>
      <c r="AH514" s="532"/>
      <c r="AI514" s="532"/>
      <c r="AJ514" s="532"/>
    </row>
    <row r="515" spans="13:36" ht="12.95" customHeight="1" x14ac:dyDescent="0.2">
      <c r="M515" s="532"/>
      <c r="N515" s="532"/>
      <c r="O515" s="532"/>
      <c r="P515" s="90"/>
      <c r="Q515" s="532"/>
      <c r="R515" s="219"/>
      <c r="S515" s="532"/>
      <c r="T515" s="90"/>
      <c r="U515" s="532"/>
      <c r="V515" s="532"/>
      <c r="W515" s="532"/>
      <c r="X515" s="532"/>
      <c r="Y515" s="532"/>
      <c r="Z515" s="532"/>
      <c r="AA515" s="532"/>
      <c r="AB515" s="532"/>
      <c r="AC515" s="532"/>
      <c r="AD515" s="532"/>
      <c r="AE515" s="532"/>
      <c r="AF515" s="532"/>
      <c r="AG515" s="532"/>
      <c r="AH515" s="532"/>
      <c r="AI515" s="532"/>
      <c r="AJ515" s="532"/>
    </row>
    <row r="516" spans="13:36" ht="12.95" customHeight="1" x14ac:dyDescent="0.2">
      <c r="M516" s="532"/>
      <c r="N516" s="532"/>
      <c r="O516" s="532"/>
      <c r="P516" s="90"/>
      <c r="Q516" s="532"/>
      <c r="R516" s="219"/>
      <c r="S516" s="532"/>
      <c r="T516" s="90"/>
      <c r="U516" s="532"/>
      <c r="V516" s="532"/>
      <c r="W516" s="532"/>
      <c r="X516" s="532"/>
      <c r="Y516" s="532"/>
      <c r="Z516" s="532"/>
      <c r="AA516" s="532"/>
      <c r="AB516" s="532"/>
      <c r="AC516" s="532"/>
      <c r="AD516" s="532"/>
      <c r="AE516" s="532"/>
      <c r="AF516" s="532"/>
      <c r="AG516" s="532"/>
      <c r="AH516" s="532"/>
      <c r="AI516" s="532"/>
      <c r="AJ516" s="532"/>
    </row>
    <row r="517" spans="13:36" ht="12.95" customHeight="1" x14ac:dyDescent="0.2">
      <c r="M517" s="532"/>
      <c r="N517" s="532"/>
      <c r="O517" s="532"/>
      <c r="P517" s="90"/>
      <c r="Q517" s="532"/>
      <c r="R517" s="219"/>
      <c r="S517" s="532"/>
      <c r="T517" s="90"/>
      <c r="U517" s="532"/>
      <c r="V517" s="532"/>
      <c r="W517" s="532"/>
      <c r="X517" s="532"/>
      <c r="Y517" s="532"/>
      <c r="Z517" s="532"/>
      <c r="AA517" s="532"/>
      <c r="AB517" s="532"/>
      <c r="AC517" s="532"/>
      <c r="AD517" s="532"/>
      <c r="AE517" s="532"/>
      <c r="AF517" s="532"/>
      <c r="AG517" s="532"/>
      <c r="AH517" s="532"/>
      <c r="AI517" s="532"/>
      <c r="AJ517" s="532"/>
    </row>
    <row r="518" spans="13:36" ht="12.95" customHeight="1" x14ac:dyDescent="0.2">
      <c r="M518" s="532"/>
      <c r="N518" s="532"/>
      <c r="O518" s="532"/>
      <c r="P518" s="90"/>
      <c r="Q518" s="532"/>
      <c r="R518" s="219"/>
      <c r="S518" s="532"/>
      <c r="T518" s="90"/>
      <c r="U518" s="532"/>
      <c r="V518" s="532"/>
      <c r="W518" s="532"/>
      <c r="X518" s="532"/>
      <c r="Y518" s="532"/>
      <c r="Z518" s="532"/>
      <c r="AA518" s="532"/>
      <c r="AB518" s="532"/>
      <c r="AC518" s="532"/>
      <c r="AD518" s="532"/>
      <c r="AE518" s="532"/>
      <c r="AF518" s="532"/>
      <c r="AG518" s="532"/>
      <c r="AH518" s="532"/>
      <c r="AI518" s="532"/>
      <c r="AJ518" s="532"/>
    </row>
    <row r="519" spans="13:36" ht="12.95" customHeight="1" x14ac:dyDescent="0.2">
      <c r="M519" s="532"/>
      <c r="N519" s="532"/>
      <c r="O519" s="532"/>
      <c r="P519" s="90"/>
      <c r="Q519" s="532"/>
      <c r="R519" s="219"/>
      <c r="S519" s="532"/>
      <c r="T519" s="90"/>
      <c r="U519" s="532"/>
      <c r="V519" s="532"/>
      <c r="W519" s="532"/>
      <c r="X519" s="532"/>
      <c r="Y519" s="532"/>
      <c r="Z519" s="532"/>
      <c r="AA519" s="532"/>
      <c r="AB519" s="532"/>
      <c r="AC519" s="532"/>
      <c r="AD519" s="532"/>
      <c r="AE519" s="532"/>
      <c r="AF519" s="532"/>
      <c r="AG519" s="532"/>
      <c r="AH519" s="532"/>
      <c r="AI519" s="532"/>
      <c r="AJ519" s="532"/>
    </row>
    <row r="520" spans="13:36" ht="12.95" customHeight="1" x14ac:dyDescent="0.2">
      <c r="M520" s="532"/>
      <c r="N520" s="532"/>
      <c r="O520" s="532"/>
      <c r="P520" s="90"/>
      <c r="Q520" s="532"/>
      <c r="R520" s="219"/>
      <c r="S520" s="532"/>
      <c r="T520" s="90"/>
      <c r="U520" s="532"/>
      <c r="V520" s="532"/>
      <c r="W520" s="532"/>
      <c r="X520" s="532"/>
      <c r="Y520" s="532"/>
      <c r="Z520" s="532"/>
      <c r="AA520" s="532"/>
      <c r="AB520" s="532"/>
      <c r="AC520" s="532"/>
      <c r="AD520" s="532"/>
      <c r="AE520" s="532"/>
      <c r="AF520" s="532"/>
      <c r="AG520" s="532"/>
      <c r="AH520" s="532"/>
      <c r="AI520" s="532"/>
      <c r="AJ520" s="532"/>
    </row>
    <row r="521" spans="13:36" ht="12.95" customHeight="1" x14ac:dyDescent="0.2">
      <c r="M521" s="532"/>
      <c r="N521" s="532"/>
      <c r="O521" s="532"/>
      <c r="P521" s="90"/>
      <c r="Q521" s="532"/>
      <c r="R521" s="219"/>
      <c r="S521" s="532"/>
      <c r="T521" s="90"/>
      <c r="U521" s="532"/>
      <c r="V521" s="532"/>
      <c r="W521" s="532"/>
      <c r="X521" s="532"/>
      <c r="Y521" s="532"/>
      <c r="Z521" s="532"/>
      <c r="AA521" s="532"/>
      <c r="AB521" s="532"/>
      <c r="AC521" s="532"/>
      <c r="AD521" s="532"/>
      <c r="AE521" s="532"/>
      <c r="AF521" s="532"/>
      <c r="AG521" s="532"/>
      <c r="AH521" s="532"/>
      <c r="AI521" s="532"/>
      <c r="AJ521" s="532"/>
    </row>
    <row r="522" spans="13:36" ht="12.95" customHeight="1" x14ac:dyDescent="0.2">
      <c r="M522" s="532"/>
      <c r="N522" s="532"/>
      <c r="O522" s="532"/>
      <c r="P522" s="90"/>
      <c r="Q522" s="532"/>
      <c r="R522" s="219"/>
      <c r="S522" s="532"/>
      <c r="T522" s="90"/>
      <c r="U522" s="532"/>
      <c r="V522" s="532"/>
      <c r="W522" s="532"/>
      <c r="X522" s="532"/>
      <c r="Y522" s="532"/>
      <c r="Z522" s="532"/>
      <c r="AA522" s="532"/>
      <c r="AB522" s="532"/>
      <c r="AC522" s="532"/>
      <c r="AD522" s="532"/>
      <c r="AE522" s="532"/>
      <c r="AF522" s="532"/>
      <c r="AG522" s="532"/>
      <c r="AH522" s="532"/>
      <c r="AI522" s="532"/>
      <c r="AJ522" s="532"/>
    </row>
    <row r="523" spans="13:36" ht="12.95" customHeight="1" x14ac:dyDescent="0.2">
      <c r="M523" s="532"/>
      <c r="N523" s="532"/>
      <c r="O523" s="532"/>
      <c r="P523" s="90"/>
      <c r="Q523" s="532"/>
      <c r="R523" s="219"/>
      <c r="S523" s="532"/>
      <c r="T523" s="90"/>
      <c r="U523" s="532"/>
      <c r="V523" s="532"/>
      <c r="W523" s="532"/>
      <c r="X523" s="532"/>
      <c r="Y523" s="532"/>
      <c r="Z523" s="532"/>
      <c r="AA523" s="532"/>
      <c r="AB523" s="532"/>
      <c r="AC523" s="532"/>
      <c r="AD523" s="532"/>
      <c r="AE523" s="532"/>
      <c r="AF523" s="532"/>
      <c r="AG523" s="532"/>
      <c r="AH523" s="532"/>
      <c r="AI523" s="532"/>
      <c r="AJ523" s="532"/>
    </row>
    <row r="524" spans="13:36" ht="12.95" customHeight="1" x14ac:dyDescent="0.2">
      <c r="M524" s="532"/>
      <c r="N524" s="532"/>
      <c r="O524" s="532"/>
      <c r="P524" s="90"/>
      <c r="Q524" s="532"/>
      <c r="R524" s="219"/>
      <c r="S524" s="532"/>
      <c r="T524" s="90"/>
      <c r="U524" s="532"/>
      <c r="V524" s="532"/>
      <c r="W524" s="532"/>
      <c r="X524" s="532"/>
      <c r="Y524" s="532"/>
      <c r="Z524" s="532"/>
      <c r="AA524" s="532"/>
      <c r="AB524" s="532"/>
      <c r="AC524" s="532"/>
      <c r="AD524" s="532"/>
      <c r="AE524" s="532"/>
      <c r="AF524" s="532"/>
      <c r="AG524" s="532"/>
      <c r="AH524" s="532"/>
      <c r="AI524" s="532"/>
      <c r="AJ524" s="532"/>
    </row>
    <row r="525" spans="13:36" ht="12.95" customHeight="1" x14ac:dyDescent="0.2">
      <c r="M525" s="532"/>
      <c r="N525" s="532"/>
      <c r="O525" s="532"/>
      <c r="P525" s="90"/>
      <c r="Q525" s="532"/>
      <c r="R525" s="219"/>
      <c r="S525" s="532"/>
      <c r="T525" s="90"/>
      <c r="U525" s="532"/>
      <c r="V525" s="532"/>
      <c r="W525" s="532"/>
      <c r="X525" s="532"/>
      <c r="Y525" s="532"/>
      <c r="Z525" s="532"/>
      <c r="AA525" s="532"/>
      <c r="AB525" s="532"/>
      <c r="AC525" s="532"/>
      <c r="AD525" s="532"/>
      <c r="AE525" s="532"/>
      <c r="AF525" s="532"/>
      <c r="AG525" s="532"/>
      <c r="AH525" s="532"/>
      <c r="AI525" s="532"/>
      <c r="AJ525" s="532"/>
    </row>
    <row r="526" spans="13:36" ht="12.95" customHeight="1" x14ac:dyDescent="0.2">
      <c r="M526" s="532"/>
      <c r="N526" s="532"/>
      <c r="O526" s="532"/>
      <c r="P526" s="90"/>
      <c r="Q526" s="532"/>
      <c r="R526" s="219"/>
      <c r="S526" s="532"/>
      <c r="T526" s="90"/>
      <c r="U526" s="532"/>
      <c r="V526" s="532"/>
      <c r="W526" s="532"/>
      <c r="X526" s="532"/>
      <c r="Y526" s="532"/>
      <c r="Z526" s="532"/>
      <c r="AA526" s="532"/>
      <c r="AB526" s="532"/>
      <c r="AC526" s="532"/>
      <c r="AD526" s="532"/>
      <c r="AE526" s="532"/>
      <c r="AF526" s="532"/>
      <c r="AG526" s="532"/>
      <c r="AH526" s="532"/>
      <c r="AI526" s="532"/>
      <c r="AJ526" s="532"/>
    </row>
    <row r="527" spans="13:36" ht="12.95" customHeight="1" x14ac:dyDescent="0.2">
      <c r="M527" s="532"/>
      <c r="N527" s="532"/>
      <c r="O527" s="532"/>
      <c r="P527" s="90"/>
      <c r="Q527" s="532"/>
      <c r="R527" s="219"/>
      <c r="S527" s="532"/>
      <c r="T527" s="90"/>
      <c r="U527" s="532"/>
      <c r="V527" s="532"/>
      <c r="W527" s="532"/>
      <c r="X527" s="532"/>
      <c r="Y527" s="532"/>
      <c r="Z527" s="532"/>
      <c r="AA527" s="532"/>
      <c r="AB527" s="532"/>
      <c r="AC527" s="532"/>
      <c r="AD527" s="532"/>
      <c r="AE527" s="532"/>
      <c r="AF527" s="532"/>
      <c r="AG527" s="532"/>
      <c r="AH527" s="532"/>
      <c r="AI527" s="532"/>
      <c r="AJ527" s="532"/>
    </row>
    <row r="528" spans="13:36" ht="12.95" customHeight="1" x14ac:dyDescent="0.2">
      <c r="M528" s="532"/>
      <c r="N528" s="532"/>
      <c r="O528" s="532"/>
      <c r="P528" s="90"/>
      <c r="Q528" s="532"/>
      <c r="R528" s="219"/>
      <c r="S528" s="532"/>
      <c r="T528" s="90"/>
      <c r="U528" s="532"/>
      <c r="V528" s="532"/>
      <c r="W528" s="532"/>
      <c r="X528" s="532"/>
      <c r="Y528" s="532"/>
      <c r="Z528" s="532"/>
      <c r="AA528" s="532"/>
      <c r="AB528" s="532"/>
      <c r="AC528" s="532"/>
      <c r="AD528" s="532"/>
      <c r="AE528" s="532"/>
      <c r="AF528" s="532"/>
      <c r="AG528" s="532"/>
      <c r="AH528" s="532"/>
      <c r="AI528" s="532"/>
      <c r="AJ528" s="532"/>
    </row>
    <row r="529" spans="13:36" ht="12.95" customHeight="1" x14ac:dyDescent="0.2">
      <c r="M529" s="532"/>
      <c r="N529" s="532"/>
      <c r="O529" s="532"/>
      <c r="P529" s="90"/>
      <c r="Q529" s="532"/>
      <c r="R529" s="219"/>
      <c r="S529" s="532"/>
      <c r="T529" s="90"/>
      <c r="U529" s="532"/>
      <c r="V529" s="532"/>
      <c r="W529" s="532"/>
      <c r="X529" s="532"/>
      <c r="Y529" s="532"/>
      <c r="Z529" s="532"/>
      <c r="AA529" s="532"/>
      <c r="AB529" s="532"/>
      <c r="AC529" s="532"/>
      <c r="AD529" s="532"/>
      <c r="AE529" s="532"/>
      <c r="AF529" s="532"/>
      <c r="AG529" s="532"/>
      <c r="AH529" s="532"/>
      <c r="AI529" s="532"/>
      <c r="AJ529" s="532"/>
    </row>
    <row r="530" spans="13:36" ht="12.95" customHeight="1" x14ac:dyDescent="0.2">
      <c r="M530" s="532"/>
      <c r="N530" s="532"/>
      <c r="O530" s="532"/>
      <c r="P530" s="90"/>
      <c r="Q530" s="532"/>
      <c r="R530" s="219"/>
      <c r="S530" s="532"/>
      <c r="T530" s="90"/>
      <c r="U530" s="532"/>
      <c r="V530" s="532"/>
      <c r="W530" s="532"/>
      <c r="X530" s="532"/>
      <c r="Y530" s="532"/>
      <c r="Z530" s="532"/>
      <c r="AA530" s="532"/>
      <c r="AB530" s="532"/>
      <c r="AC530" s="532"/>
      <c r="AD530" s="532"/>
      <c r="AE530" s="532"/>
      <c r="AF530" s="532"/>
      <c r="AG530" s="532"/>
      <c r="AH530" s="532"/>
      <c r="AI530" s="532"/>
      <c r="AJ530" s="532"/>
    </row>
    <row r="531" spans="13:36" ht="12.95" customHeight="1" x14ac:dyDescent="0.2">
      <c r="M531" s="532"/>
      <c r="N531" s="532"/>
      <c r="O531" s="532"/>
      <c r="P531" s="90"/>
      <c r="Q531" s="532"/>
      <c r="R531" s="219"/>
      <c r="S531" s="532"/>
      <c r="T531" s="90"/>
      <c r="U531" s="532"/>
      <c r="V531" s="532"/>
      <c r="W531" s="532"/>
      <c r="X531" s="532"/>
      <c r="Y531" s="532"/>
      <c r="Z531" s="532"/>
      <c r="AA531" s="532"/>
      <c r="AB531" s="532"/>
      <c r="AC531" s="532"/>
      <c r="AD531" s="532"/>
      <c r="AE531" s="532"/>
      <c r="AF531" s="532"/>
      <c r="AG531" s="532"/>
      <c r="AH531" s="532"/>
      <c r="AI531" s="532"/>
      <c r="AJ531" s="532"/>
    </row>
    <row r="532" spans="13:36" ht="12.95" customHeight="1" x14ac:dyDescent="0.2">
      <c r="M532" s="532"/>
      <c r="N532" s="532"/>
      <c r="O532" s="532"/>
      <c r="P532" s="90"/>
      <c r="Q532" s="532"/>
      <c r="R532" s="219"/>
      <c r="S532" s="532"/>
      <c r="T532" s="90"/>
      <c r="U532" s="532"/>
      <c r="V532" s="532"/>
      <c r="W532" s="532"/>
      <c r="X532" s="532"/>
      <c r="Y532" s="532"/>
      <c r="Z532" s="532"/>
      <c r="AA532" s="532"/>
      <c r="AB532" s="532"/>
      <c r="AC532" s="532"/>
      <c r="AD532" s="532"/>
      <c r="AE532" s="532"/>
      <c r="AF532" s="532"/>
      <c r="AG532" s="532"/>
      <c r="AH532" s="532"/>
      <c r="AI532" s="532"/>
      <c r="AJ532" s="532"/>
    </row>
    <row r="533" spans="13:36" ht="12.95" customHeight="1" x14ac:dyDescent="0.2">
      <c r="M533" s="532"/>
      <c r="N533" s="532"/>
      <c r="O533" s="532"/>
      <c r="P533" s="90"/>
      <c r="Q533" s="532"/>
      <c r="R533" s="219"/>
      <c r="S533" s="532"/>
      <c r="T533" s="90"/>
      <c r="U533" s="532"/>
      <c r="V533" s="532"/>
      <c r="W533" s="532"/>
      <c r="X533" s="532"/>
      <c r="Y533" s="532"/>
      <c r="Z533" s="532"/>
      <c r="AA533" s="532"/>
      <c r="AB533" s="532"/>
      <c r="AC533" s="532"/>
      <c r="AD533" s="532"/>
      <c r="AE533" s="532"/>
      <c r="AF533" s="532"/>
      <c r="AG533" s="532"/>
      <c r="AH533" s="532"/>
      <c r="AI533" s="532"/>
      <c r="AJ533" s="532"/>
    </row>
    <row r="534" spans="13:36" ht="12.95" customHeight="1" x14ac:dyDescent="0.2">
      <c r="M534" s="532"/>
      <c r="N534" s="532"/>
      <c r="O534" s="532"/>
      <c r="P534" s="90"/>
      <c r="Q534" s="532"/>
      <c r="R534" s="219"/>
      <c r="S534" s="532"/>
      <c r="T534" s="90"/>
      <c r="U534" s="532"/>
      <c r="V534" s="532"/>
      <c r="W534" s="532"/>
      <c r="X534" s="532"/>
      <c r="Y534" s="532"/>
      <c r="Z534" s="532"/>
      <c r="AA534" s="532"/>
      <c r="AB534" s="532"/>
      <c r="AC534" s="532"/>
      <c r="AD534" s="532"/>
      <c r="AE534" s="532"/>
      <c r="AF534" s="532"/>
      <c r="AG534" s="532"/>
      <c r="AH534" s="532"/>
      <c r="AI534" s="532"/>
      <c r="AJ534" s="532"/>
    </row>
    <row r="535" spans="13:36" ht="12.95" customHeight="1" x14ac:dyDescent="0.2">
      <c r="M535" s="532"/>
      <c r="N535" s="532"/>
      <c r="O535" s="532"/>
      <c r="P535" s="90"/>
      <c r="Q535" s="532"/>
      <c r="R535" s="219"/>
      <c r="S535" s="532"/>
      <c r="T535" s="90"/>
      <c r="U535" s="532"/>
      <c r="V535" s="532"/>
      <c r="W535" s="532"/>
      <c r="X535" s="532"/>
      <c r="Y535" s="532"/>
      <c r="Z535" s="532"/>
      <c r="AA535" s="532"/>
      <c r="AB535" s="532"/>
      <c r="AC535" s="532"/>
      <c r="AD535" s="532"/>
      <c r="AE535" s="532"/>
      <c r="AF535" s="532"/>
      <c r="AG535" s="532"/>
      <c r="AH535" s="532"/>
      <c r="AI535" s="532"/>
      <c r="AJ535" s="532"/>
    </row>
    <row r="536" spans="13:36" ht="12.95" customHeight="1" x14ac:dyDescent="0.2">
      <c r="M536" s="532"/>
      <c r="N536" s="532"/>
      <c r="O536" s="532"/>
      <c r="P536" s="90"/>
      <c r="Q536" s="532"/>
      <c r="R536" s="219"/>
      <c r="S536" s="532"/>
      <c r="T536" s="90"/>
      <c r="U536" s="532"/>
      <c r="V536" s="532"/>
      <c r="W536" s="532"/>
      <c r="X536" s="532"/>
      <c r="Y536" s="532"/>
      <c r="Z536" s="532"/>
      <c r="AA536" s="532"/>
      <c r="AB536" s="532"/>
      <c r="AC536" s="532"/>
      <c r="AD536" s="532"/>
      <c r="AE536" s="532"/>
      <c r="AF536" s="532"/>
      <c r="AG536" s="532"/>
      <c r="AH536" s="532"/>
      <c r="AI536" s="532"/>
      <c r="AJ536" s="532"/>
    </row>
    <row r="537" spans="13:36" ht="12.95" customHeight="1" x14ac:dyDescent="0.2">
      <c r="M537" s="532"/>
      <c r="N537" s="532"/>
      <c r="O537" s="532"/>
      <c r="P537" s="90"/>
      <c r="Q537" s="532"/>
      <c r="R537" s="219"/>
      <c r="S537" s="532"/>
      <c r="T537" s="90"/>
      <c r="U537" s="532"/>
      <c r="V537" s="532"/>
      <c r="W537" s="532"/>
      <c r="X537" s="532"/>
      <c r="Y537" s="532"/>
      <c r="Z537" s="532"/>
      <c r="AA537" s="532"/>
      <c r="AB537" s="532"/>
      <c r="AC537" s="532"/>
      <c r="AD537" s="532"/>
      <c r="AE537" s="532"/>
      <c r="AF537" s="532"/>
      <c r="AG537" s="532"/>
      <c r="AH537" s="532"/>
      <c r="AI537" s="532"/>
      <c r="AJ537" s="532"/>
    </row>
    <row r="538" spans="13:36" ht="12.95" customHeight="1" x14ac:dyDescent="0.2">
      <c r="M538" s="532"/>
      <c r="N538" s="532"/>
      <c r="O538" s="532"/>
      <c r="P538" s="90"/>
      <c r="Q538" s="532"/>
      <c r="R538" s="219"/>
      <c r="S538" s="532"/>
      <c r="T538" s="90"/>
      <c r="U538" s="532"/>
      <c r="V538" s="532"/>
      <c r="W538" s="532"/>
      <c r="X538" s="532"/>
      <c r="Y538" s="532"/>
      <c r="Z538" s="532"/>
      <c r="AA538" s="532"/>
      <c r="AB538" s="532"/>
      <c r="AC538" s="532"/>
      <c r="AD538" s="532"/>
      <c r="AE538" s="532"/>
      <c r="AF538" s="532"/>
      <c r="AG538" s="532"/>
      <c r="AH538" s="532"/>
      <c r="AI538" s="532"/>
      <c r="AJ538" s="532"/>
    </row>
    <row r="539" spans="13:36" ht="12.95" customHeight="1" x14ac:dyDescent="0.2">
      <c r="M539" s="532"/>
      <c r="N539" s="532"/>
      <c r="O539" s="532"/>
      <c r="P539" s="90"/>
      <c r="Q539" s="532"/>
      <c r="R539" s="219"/>
      <c r="S539" s="532"/>
      <c r="T539" s="90"/>
      <c r="U539" s="532"/>
      <c r="V539" s="532"/>
      <c r="W539" s="532"/>
      <c r="X539" s="532"/>
      <c r="Y539" s="532"/>
      <c r="Z539" s="532"/>
      <c r="AA539" s="532"/>
      <c r="AB539" s="532"/>
      <c r="AC539" s="532"/>
      <c r="AD539" s="532"/>
      <c r="AE539" s="532"/>
      <c r="AF539" s="532"/>
      <c r="AG539" s="532"/>
      <c r="AH539" s="532"/>
      <c r="AI539" s="532"/>
      <c r="AJ539" s="532"/>
    </row>
    <row r="540" spans="13:36" ht="12.95" customHeight="1" x14ac:dyDescent="0.2">
      <c r="M540" s="532"/>
      <c r="N540" s="532"/>
      <c r="O540" s="532"/>
      <c r="P540" s="90"/>
      <c r="Q540" s="532"/>
      <c r="R540" s="219"/>
      <c r="S540" s="532"/>
      <c r="T540" s="90"/>
      <c r="U540" s="532"/>
      <c r="V540" s="532"/>
      <c r="W540" s="532"/>
      <c r="X540" s="532"/>
      <c r="Y540" s="532"/>
      <c r="Z540" s="532"/>
      <c r="AA540" s="532"/>
      <c r="AB540" s="532"/>
      <c r="AC540" s="532"/>
      <c r="AD540" s="532"/>
      <c r="AE540" s="532"/>
      <c r="AF540" s="532"/>
      <c r="AG540" s="532"/>
      <c r="AH540" s="532"/>
      <c r="AI540" s="532"/>
      <c r="AJ540" s="532"/>
    </row>
    <row r="541" spans="13:36" ht="12.95" customHeight="1" x14ac:dyDescent="0.2">
      <c r="M541" s="532"/>
      <c r="N541" s="532"/>
      <c r="O541" s="532"/>
      <c r="P541" s="90"/>
      <c r="Q541" s="532"/>
      <c r="R541" s="219"/>
      <c r="S541" s="532"/>
      <c r="T541" s="90"/>
      <c r="U541" s="532"/>
      <c r="V541" s="532"/>
      <c r="W541" s="532"/>
      <c r="X541" s="532"/>
      <c r="Y541" s="532"/>
      <c r="Z541" s="532"/>
      <c r="AA541" s="532"/>
      <c r="AB541" s="532"/>
      <c r="AC541" s="532"/>
      <c r="AD541" s="532"/>
      <c r="AE541" s="532"/>
      <c r="AF541" s="532"/>
      <c r="AG541" s="532"/>
      <c r="AH541" s="532"/>
      <c r="AI541" s="532"/>
      <c r="AJ541" s="532"/>
    </row>
    <row r="542" spans="13:36" ht="12.95" customHeight="1" x14ac:dyDescent="0.2">
      <c r="M542" s="532"/>
      <c r="N542" s="532"/>
      <c r="O542" s="532"/>
      <c r="P542" s="90"/>
      <c r="Q542" s="532"/>
      <c r="R542" s="219"/>
      <c r="S542" s="532"/>
      <c r="T542" s="90"/>
      <c r="U542" s="532"/>
      <c r="V542" s="532"/>
      <c r="W542" s="532"/>
      <c r="X542" s="532"/>
      <c r="Y542" s="532"/>
      <c r="Z542" s="532"/>
      <c r="AA542" s="532"/>
      <c r="AB542" s="532"/>
      <c r="AC542" s="532"/>
      <c r="AD542" s="532"/>
      <c r="AE542" s="532"/>
      <c r="AF542" s="532"/>
      <c r="AG542" s="532"/>
      <c r="AH542" s="532"/>
      <c r="AI542" s="532"/>
      <c r="AJ542" s="532"/>
    </row>
    <row r="543" spans="13:36" ht="12.95" customHeight="1" x14ac:dyDescent="0.2">
      <c r="M543" s="532"/>
      <c r="N543" s="532"/>
      <c r="O543" s="532"/>
      <c r="P543" s="90"/>
      <c r="Q543" s="532"/>
      <c r="R543" s="219"/>
      <c r="S543" s="532"/>
      <c r="T543" s="90"/>
      <c r="U543" s="532"/>
      <c r="V543" s="532"/>
      <c r="W543" s="532"/>
      <c r="X543" s="532"/>
      <c r="Y543" s="532"/>
      <c r="Z543" s="532"/>
      <c r="AA543" s="532"/>
      <c r="AB543" s="532"/>
      <c r="AC543" s="532"/>
      <c r="AD543" s="532"/>
      <c r="AE543" s="532"/>
      <c r="AF543" s="532"/>
      <c r="AG543" s="532"/>
      <c r="AH543" s="532"/>
      <c r="AI543" s="532"/>
      <c r="AJ543" s="532"/>
    </row>
    <row r="544" spans="13:36" ht="12.95" customHeight="1" x14ac:dyDescent="0.2">
      <c r="M544" s="532"/>
      <c r="N544" s="532"/>
      <c r="O544" s="532"/>
      <c r="P544" s="90"/>
      <c r="Q544" s="532"/>
      <c r="R544" s="219"/>
      <c r="S544" s="532"/>
      <c r="T544" s="90"/>
      <c r="U544" s="532"/>
      <c r="V544" s="532"/>
      <c r="W544" s="532"/>
      <c r="X544" s="532"/>
      <c r="Y544" s="532"/>
      <c r="Z544" s="532"/>
      <c r="AA544" s="532"/>
      <c r="AB544" s="532"/>
      <c r="AC544" s="532"/>
      <c r="AD544" s="532"/>
      <c r="AE544" s="532"/>
      <c r="AF544" s="532"/>
      <c r="AG544" s="532"/>
      <c r="AH544" s="532"/>
      <c r="AI544" s="532"/>
      <c r="AJ544" s="532"/>
    </row>
    <row r="545" spans="13:36" ht="12.95" customHeight="1" x14ac:dyDescent="0.2">
      <c r="M545" s="532"/>
      <c r="N545" s="532"/>
      <c r="O545" s="532"/>
      <c r="P545" s="90"/>
      <c r="Q545" s="532"/>
      <c r="R545" s="219"/>
      <c r="S545" s="532"/>
      <c r="T545" s="90"/>
      <c r="U545" s="532"/>
      <c r="V545" s="532"/>
      <c r="W545" s="532"/>
      <c r="X545" s="532"/>
      <c r="Y545" s="532"/>
      <c r="Z545" s="532"/>
      <c r="AA545" s="532"/>
      <c r="AB545" s="532"/>
      <c r="AC545" s="532"/>
      <c r="AD545" s="532"/>
      <c r="AE545" s="532"/>
      <c r="AF545" s="532"/>
      <c r="AG545" s="532"/>
      <c r="AH545" s="532"/>
      <c r="AI545" s="532"/>
      <c r="AJ545" s="532"/>
    </row>
    <row r="546" spans="13:36" ht="12.95" customHeight="1" x14ac:dyDescent="0.2">
      <c r="M546" s="532"/>
      <c r="N546" s="532"/>
      <c r="O546" s="532"/>
      <c r="P546" s="90"/>
      <c r="Q546" s="532"/>
      <c r="R546" s="219"/>
      <c r="S546" s="532"/>
      <c r="T546" s="90"/>
      <c r="U546" s="532"/>
      <c r="V546" s="532"/>
      <c r="W546" s="532"/>
      <c r="X546" s="532"/>
      <c r="Y546" s="532"/>
      <c r="Z546" s="532"/>
      <c r="AA546" s="532"/>
      <c r="AB546" s="532"/>
      <c r="AC546" s="532"/>
      <c r="AD546" s="532"/>
      <c r="AE546" s="532"/>
      <c r="AF546" s="532"/>
      <c r="AG546" s="532"/>
      <c r="AH546" s="532"/>
      <c r="AI546" s="532"/>
      <c r="AJ546" s="532"/>
    </row>
    <row r="547" spans="13:36" ht="12.95" customHeight="1" x14ac:dyDescent="0.2">
      <c r="M547" s="532"/>
      <c r="N547" s="532"/>
      <c r="O547" s="532"/>
      <c r="P547" s="90"/>
      <c r="Q547" s="532"/>
      <c r="R547" s="219"/>
      <c r="S547" s="532"/>
      <c r="T547" s="90"/>
      <c r="U547" s="532"/>
      <c r="V547" s="532"/>
      <c r="W547" s="532"/>
      <c r="X547" s="532"/>
      <c r="Y547" s="532"/>
      <c r="Z547" s="532"/>
      <c r="AA547" s="532"/>
      <c r="AB547" s="532"/>
      <c r="AC547" s="532"/>
      <c r="AD547" s="532"/>
      <c r="AE547" s="532"/>
      <c r="AF547" s="532"/>
      <c r="AG547" s="532"/>
      <c r="AH547" s="532"/>
      <c r="AI547" s="532"/>
      <c r="AJ547" s="532"/>
    </row>
    <row r="548" spans="13:36" ht="12.95" customHeight="1" x14ac:dyDescent="0.2">
      <c r="M548" s="532"/>
      <c r="N548" s="532"/>
      <c r="O548" s="532"/>
      <c r="P548" s="90"/>
      <c r="Q548" s="532"/>
      <c r="R548" s="219"/>
      <c r="S548" s="532"/>
      <c r="T548" s="90"/>
      <c r="U548" s="532"/>
      <c r="V548" s="532"/>
      <c r="W548" s="532"/>
      <c r="X548" s="532"/>
      <c r="Y548" s="532"/>
      <c r="Z548" s="532"/>
      <c r="AA548" s="532"/>
      <c r="AB548" s="532"/>
      <c r="AC548" s="532"/>
      <c r="AD548" s="532"/>
      <c r="AE548" s="532"/>
      <c r="AF548" s="532"/>
      <c r="AG548" s="532"/>
      <c r="AH548" s="532"/>
      <c r="AI548" s="532"/>
      <c r="AJ548" s="532"/>
    </row>
    <row r="549" spans="13:36" ht="12.95" customHeight="1" x14ac:dyDescent="0.2">
      <c r="M549" s="532"/>
      <c r="N549" s="532"/>
      <c r="O549" s="532"/>
      <c r="P549" s="90"/>
      <c r="Q549" s="532"/>
      <c r="R549" s="219"/>
      <c r="S549" s="532"/>
      <c r="T549" s="90"/>
      <c r="U549" s="532"/>
      <c r="V549" s="532"/>
      <c r="W549" s="532"/>
      <c r="X549" s="532"/>
      <c r="Y549" s="532"/>
      <c r="Z549" s="532"/>
      <c r="AA549" s="532"/>
      <c r="AB549" s="532"/>
      <c r="AC549" s="532"/>
      <c r="AD549" s="532"/>
      <c r="AE549" s="532"/>
      <c r="AF549" s="532"/>
      <c r="AG549" s="532"/>
      <c r="AH549" s="532"/>
      <c r="AI549" s="532"/>
      <c r="AJ549" s="532"/>
    </row>
    <row r="550" spans="13:36" ht="12.95" customHeight="1" x14ac:dyDescent="0.2">
      <c r="M550" s="532"/>
      <c r="N550" s="532"/>
      <c r="O550" s="532"/>
      <c r="P550" s="90"/>
      <c r="Q550" s="532"/>
      <c r="R550" s="219"/>
      <c r="S550" s="532"/>
      <c r="T550" s="90"/>
      <c r="U550" s="532"/>
      <c r="V550" s="532"/>
      <c r="W550" s="532"/>
      <c r="X550" s="532"/>
      <c r="Y550" s="532"/>
      <c r="Z550" s="532"/>
      <c r="AA550" s="532"/>
      <c r="AB550" s="532"/>
      <c r="AC550" s="532"/>
      <c r="AD550" s="532"/>
      <c r="AE550" s="532"/>
      <c r="AF550" s="532"/>
      <c r="AG550" s="532"/>
      <c r="AH550" s="532"/>
      <c r="AI550" s="532"/>
      <c r="AJ550" s="532"/>
    </row>
    <row r="551" spans="13:36" ht="12.95" customHeight="1" x14ac:dyDescent="0.2">
      <c r="M551" s="532"/>
      <c r="N551" s="532"/>
      <c r="O551" s="532"/>
      <c r="P551" s="90"/>
      <c r="Q551" s="532"/>
      <c r="R551" s="219"/>
      <c r="S551" s="532"/>
      <c r="T551" s="90"/>
      <c r="U551" s="532"/>
      <c r="V551" s="532"/>
      <c r="W551" s="532"/>
      <c r="X551" s="532"/>
      <c r="Y551" s="532"/>
      <c r="Z551" s="532"/>
      <c r="AA551" s="532"/>
      <c r="AB551" s="532"/>
      <c r="AC551" s="532"/>
      <c r="AD551" s="532"/>
      <c r="AE551" s="532"/>
      <c r="AF551" s="532"/>
      <c r="AG551" s="532"/>
      <c r="AH551" s="532"/>
      <c r="AI551" s="532"/>
      <c r="AJ551" s="532"/>
    </row>
    <row r="552" spans="13:36" ht="12.95" customHeight="1" x14ac:dyDescent="0.2">
      <c r="M552" s="532"/>
      <c r="N552" s="532"/>
      <c r="O552" s="532"/>
      <c r="P552" s="90"/>
      <c r="Q552" s="532"/>
      <c r="R552" s="219"/>
      <c r="S552" s="532"/>
      <c r="T552" s="90"/>
      <c r="U552" s="532"/>
      <c r="V552" s="532"/>
      <c r="W552" s="532"/>
      <c r="X552" s="532"/>
      <c r="Y552" s="532"/>
      <c r="Z552" s="532"/>
      <c r="AA552" s="532"/>
      <c r="AB552" s="532"/>
      <c r="AC552" s="532"/>
      <c r="AD552" s="532"/>
      <c r="AE552" s="532"/>
      <c r="AF552" s="532"/>
      <c r="AG552" s="532"/>
      <c r="AH552" s="532"/>
      <c r="AI552" s="532"/>
      <c r="AJ552" s="532"/>
    </row>
    <row r="553" spans="13:36" ht="12.95" customHeight="1" x14ac:dyDescent="0.2">
      <c r="M553" s="532"/>
      <c r="N553" s="532"/>
      <c r="O553" s="532"/>
      <c r="P553" s="90"/>
      <c r="Q553" s="532"/>
      <c r="R553" s="219"/>
      <c r="S553" s="532"/>
      <c r="T553" s="90"/>
      <c r="U553" s="532"/>
      <c r="V553" s="532"/>
      <c r="W553" s="532"/>
      <c r="X553" s="532"/>
      <c r="Y553" s="532"/>
      <c r="Z553" s="532"/>
      <c r="AA553" s="532"/>
      <c r="AB553" s="532"/>
      <c r="AC553" s="532"/>
      <c r="AD553" s="532"/>
      <c r="AE553" s="532"/>
      <c r="AF553" s="532"/>
      <c r="AG553" s="532"/>
      <c r="AH553" s="532"/>
      <c r="AI553" s="532"/>
      <c r="AJ553" s="532"/>
    </row>
    <row r="554" spans="13:36" ht="12.95" customHeight="1" x14ac:dyDescent="0.2">
      <c r="M554" s="532"/>
      <c r="N554" s="532"/>
      <c r="O554" s="532"/>
      <c r="P554" s="90"/>
      <c r="Q554" s="532"/>
      <c r="R554" s="219"/>
      <c r="S554" s="532"/>
      <c r="T554" s="90"/>
      <c r="U554" s="532"/>
      <c r="V554" s="532"/>
      <c r="W554" s="532"/>
      <c r="X554" s="532"/>
      <c r="Y554" s="532"/>
      <c r="Z554" s="532"/>
      <c r="AA554" s="532"/>
      <c r="AB554" s="532"/>
      <c r="AC554" s="532"/>
      <c r="AD554" s="532"/>
      <c r="AE554" s="532"/>
      <c r="AF554" s="532"/>
      <c r="AG554" s="532"/>
      <c r="AH554" s="532"/>
      <c r="AI554" s="532"/>
      <c r="AJ554" s="532"/>
    </row>
    <row r="555" spans="13:36" ht="12.95" customHeight="1" x14ac:dyDescent="0.2">
      <c r="M555" s="532"/>
      <c r="N555" s="532"/>
      <c r="O555" s="532"/>
      <c r="P555" s="90"/>
      <c r="Q555" s="532"/>
      <c r="R555" s="219"/>
      <c r="S555" s="532"/>
      <c r="T555" s="90"/>
      <c r="U555" s="532"/>
      <c r="V555" s="532"/>
      <c r="W555" s="532"/>
      <c r="X555" s="532"/>
      <c r="Y555" s="532"/>
      <c r="Z555" s="532"/>
      <c r="AA555" s="532"/>
      <c r="AB555" s="532"/>
      <c r="AC555" s="532"/>
      <c r="AD555" s="532"/>
      <c r="AE555" s="532"/>
      <c r="AF555" s="532"/>
      <c r="AG555" s="532"/>
      <c r="AH555" s="532"/>
      <c r="AI555" s="532"/>
      <c r="AJ555" s="532"/>
    </row>
    <row r="556" spans="13:36" ht="12.95" customHeight="1" x14ac:dyDescent="0.2">
      <c r="M556" s="532"/>
      <c r="N556" s="532"/>
      <c r="O556" s="532"/>
      <c r="P556" s="90"/>
      <c r="Q556" s="532"/>
      <c r="R556" s="219"/>
      <c r="S556" s="532"/>
      <c r="T556" s="90"/>
      <c r="U556" s="532"/>
      <c r="V556" s="532"/>
      <c r="W556" s="532"/>
      <c r="X556" s="532"/>
      <c r="Y556" s="532"/>
      <c r="Z556" s="532"/>
      <c r="AA556" s="532"/>
      <c r="AB556" s="532"/>
      <c r="AC556" s="532"/>
      <c r="AD556" s="532"/>
      <c r="AE556" s="532"/>
      <c r="AF556" s="532"/>
      <c r="AG556" s="532"/>
      <c r="AH556" s="532"/>
      <c r="AI556" s="532"/>
      <c r="AJ556" s="532"/>
    </row>
    <row r="557" spans="13:36" ht="12.95" customHeight="1" x14ac:dyDescent="0.2">
      <c r="M557" s="532"/>
      <c r="N557" s="532"/>
      <c r="O557" s="532"/>
      <c r="P557" s="90"/>
      <c r="Q557" s="532"/>
      <c r="R557" s="219"/>
      <c r="S557" s="532"/>
      <c r="T557" s="90"/>
      <c r="U557" s="532"/>
      <c r="V557" s="532"/>
      <c r="W557" s="532"/>
      <c r="X557" s="532"/>
      <c r="Y557" s="532"/>
      <c r="Z557" s="532"/>
      <c r="AA557" s="532"/>
      <c r="AB557" s="532"/>
      <c r="AC557" s="532"/>
      <c r="AD557" s="532"/>
      <c r="AE557" s="532"/>
      <c r="AF557" s="532"/>
      <c r="AG557" s="532"/>
      <c r="AH557" s="532"/>
      <c r="AI557" s="532"/>
      <c r="AJ557" s="532"/>
    </row>
    <row r="558" spans="13:36" ht="12.95" customHeight="1" x14ac:dyDescent="0.2">
      <c r="M558" s="532"/>
      <c r="N558" s="532"/>
      <c r="O558" s="532"/>
      <c r="P558" s="90"/>
      <c r="Q558" s="532"/>
      <c r="R558" s="219"/>
      <c r="S558" s="532"/>
      <c r="T558" s="90"/>
      <c r="U558" s="532"/>
      <c r="V558" s="532"/>
      <c r="W558" s="532"/>
      <c r="X558" s="532"/>
      <c r="Y558" s="532"/>
      <c r="Z558" s="532"/>
      <c r="AA558" s="532"/>
      <c r="AB558" s="532"/>
      <c r="AC558" s="532"/>
      <c r="AD558" s="532"/>
      <c r="AE558" s="532"/>
      <c r="AF558" s="532"/>
      <c r="AG558" s="532"/>
      <c r="AH558" s="532"/>
      <c r="AI558" s="532"/>
      <c r="AJ558" s="532"/>
    </row>
    <row r="559" spans="13:36" ht="12.95" customHeight="1" x14ac:dyDescent="0.2">
      <c r="M559" s="532"/>
      <c r="N559" s="532"/>
      <c r="O559" s="532"/>
      <c r="P559" s="90"/>
      <c r="Q559" s="532"/>
      <c r="R559" s="219"/>
      <c r="S559" s="532"/>
      <c r="T559" s="90"/>
      <c r="U559" s="532"/>
      <c r="V559" s="532"/>
      <c r="W559" s="532"/>
      <c r="X559" s="532"/>
      <c r="Y559" s="532"/>
      <c r="Z559" s="532"/>
      <c r="AA559" s="532"/>
      <c r="AB559" s="532"/>
      <c r="AC559" s="532"/>
      <c r="AD559" s="532"/>
      <c r="AE559" s="532"/>
      <c r="AF559" s="532"/>
      <c r="AG559" s="532"/>
      <c r="AH559" s="532"/>
      <c r="AI559" s="532"/>
      <c r="AJ559" s="532"/>
    </row>
    <row r="560" spans="13:36" ht="12.95" customHeight="1" x14ac:dyDescent="0.2">
      <c r="M560" s="532"/>
      <c r="N560" s="532"/>
      <c r="O560" s="532"/>
      <c r="P560" s="90"/>
      <c r="Q560" s="532"/>
      <c r="R560" s="219"/>
      <c r="S560" s="532"/>
      <c r="T560" s="90"/>
      <c r="U560" s="532"/>
      <c r="V560" s="532"/>
      <c r="W560" s="532"/>
      <c r="X560" s="532"/>
      <c r="Y560" s="532"/>
      <c r="Z560" s="532"/>
      <c r="AA560" s="532"/>
      <c r="AB560" s="532"/>
      <c r="AC560" s="532"/>
      <c r="AD560" s="532"/>
      <c r="AE560" s="532"/>
      <c r="AF560" s="532"/>
      <c r="AG560" s="532"/>
      <c r="AH560" s="532"/>
      <c r="AI560" s="532"/>
      <c r="AJ560" s="532"/>
    </row>
    <row r="561" spans="13:36" ht="12.95" customHeight="1" x14ac:dyDescent="0.2">
      <c r="M561" s="532"/>
      <c r="N561" s="532"/>
      <c r="O561" s="532"/>
      <c r="P561" s="90"/>
      <c r="Q561" s="532"/>
      <c r="R561" s="219"/>
      <c r="S561" s="532"/>
      <c r="T561" s="90"/>
      <c r="U561" s="532"/>
      <c r="V561" s="532"/>
      <c r="W561" s="532"/>
      <c r="X561" s="532"/>
      <c r="Y561" s="532"/>
      <c r="Z561" s="532"/>
      <c r="AA561" s="532"/>
      <c r="AB561" s="532"/>
      <c r="AC561" s="532"/>
      <c r="AD561" s="532"/>
      <c r="AE561" s="532"/>
      <c r="AF561" s="532"/>
      <c r="AG561" s="532"/>
      <c r="AH561" s="532"/>
      <c r="AI561" s="532"/>
      <c r="AJ561" s="532"/>
    </row>
    <row r="562" spans="13:36" ht="12.95" customHeight="1" x14ac:dyDescent="0.2">
      <c r="M562" s="532"/>
      <c r="N562" s="532"/>
      <c r="O562" s="532"/>
      <c r="P562" s="90"/>
      <c r="Q562" s="532"/>
      <c r="R562" s="219"/>
      <c r="S562" s="532"/>
      <c r="T562" s="90"/>
      <c r="U562" s="532"/>
      <c r="V562" s="532"/>
      <c r="W562" s="532"/>
      <c r="X562" s="532"/>
      <c r="Y562" s="532"/>
      <c r="Z562" s="532"/>
      <c r="AA562" s="532"/>
      <c r="AB562" s="532"/>
      <c r="AC562" s="532"/>
      <c r="AD562" s="532"/>
      <c r="AE562" s="532"/>
      <c r="AF562" s="532"/>
      <c r="AG562" s="532"/>
      <c r="AH562" s="532"/>
      <c r="AI562" s="532"/>
      <c r="AJ562" s="532"/>
    </row>
    <row r="563" spans="13:36" ht="12.95" customHeight="1" x14ac:dyDescent="0.2">
      <c r="M563" s="532"/>
      <c r="N563" s="532"/>
      <c r="O563" s="532"/>
      <c r="P563" s="90"/>
      <c r="Q563" s="532"/>
      <c r="R563" s="219"/>
      <c r="S563" s="532"/>
      <c r="T563" s="90"/>
      <c r="U563" s="532"/>
      <c r="V563" s="532"/>
      <c r="W563" s="532"/>
      <c r="X563" s="532"/>
      <c r="Y563" s="532"/>
      <c r="Z563" s="532"/>
      <c r="AA563" s="532"/>
      <c r="AB563" s="532"/>
      <c r="AC563" s="532"/>
      <c r="AD563" s="532"/>
      <c r="AE563" s="532"/>
      <c r="AF563" s="532"/>
      <c r="AG563" s="532"/>
      <c r="AH563" s="532"/>
      <c r="AI563" s="532"/>
      <c r="AJ563" s="532"/>
    </row>
    <row r="564" spans="13:36" ht="12.95" customHeight="1" x14ac:dyDescent="0.2">
      <c r="M564" s="532"/>
      <c r="N564" s="532"/>
      <c r="O564" s="532"/>
      <c r="P564" s="90"/>
      <c r="Q564" s="532"/>
      <c r="R564" s="219"/>
      <c r="S564" s="532"/>
      <c r="T564" s="90"/>
      <c r="U564" s="532"/>
      <c r="V564" s="532"/>
      <c r="W564" s="532"/>
      <c r="X564" s="532"/>
      <c r="Y564" s="532"/>
      <c r="Z564" s="532"/>
      <c r="AA564" s="532"/>
      <c r="AB564" s="532"/>
      <c r="AC564" s="532"/>
      <c r="AD564" s="532"/>
      <c r="AE564" s="532"/>
      <c r="AF564" s="532"/>
      <c r="AG564" s="532"/>
      <c r="AH564" s="532"/>
      <c r="AI564" s="532"/>
      <c r="AJ564" s="532"/>
    </row>
    <row r="565" spans="13:36" ht="12.95" customHeight="1" x14ac:dyDescent="0.2">
      <c r="M565" s="532"/>
      <c r="N565" s="532"/>
      <c r="O565" s="532"/>
      <c r="P565" s="90"/>
      <c r="Q565" s="532"/>
      <c r="R565" s="219"/>
      <c r="S565" s="532"/>
      <c r="T565" s="90"/>
      <c r="U565" s="532"/>
      <c r="V565" s="532"/>
      <c r="W565" s="532"/>
      <c r="X565" s="532"/>
      <c r="Y565" s="532"/>
      <c r="Z565" s="532"/>
      <c r="AA565" s="532"/>
      <c r="AB565" s="532"/>
      <c r="AC565" s="532"/>
      <c r="AD565" s="532"/>
      <c r="AE565" s="532"/>
      <c r="AF565" s="532"/>
      <c r="AG565" s="532"/>
      <c r="AH565" s="532"/>
      <c r="AI565" s="532"/>
      <c r="AJ565" s="532"/>
    </row>
    <row r="566" spans="13:36" ht="12.95" customHeight="1" x14ac:dyDescent="0.2">
      <c r="M566" s="532"/>
      <c r="N566" s="532"/>
      <c r="O566" s="532"/>
      <c r="P566" s="90"/>
      <c r="Q566" s="532"/>
      <c r="R566" s="219"/>
      <c r="S566" s="532"/>
      <c r="T566" s="90"/>
      <c r="U566" s="532"/>
      <c r="V566" s="532"/>
      <c r="W566" s="532"/>
      <c r="X566" s="532"/>
      <c r="Y566" s="532"/>
      <c r="Z566" s="532"/>
      <c r="AA566" s="532"/>
      <c r="AB566" s="532"/>
      <c r="AC566" s="532"/>
      <c r="AD566" s="532"/>
      <c r="AE566" s="532"/>
      <c r="AF566" s="532"/>
      <c r="AG566" s="532"/>
      <c r="AH566" s="532"/>
      <c r="AI566" s="532"/>
      <c r="AJ566" s="532"/>
    </row>
    <row r="567" spans="13:36" ht="12.95" customHeight="1" x14ac:dyDescent="0.2">
      <c r="M567" s="532"/>
      <c r="N567" s="532"/>
      <c r="O567" s="532"/>
      <c r="P567" s="90"/>
      <c r="Q567" s="532"/>
      <c r="R567" s="219"/>
      <c r="S567" s="532"/>
      <c r="T567" s="90"/>
      <c r="U567" s="532"/>
      <c r="V567" s="532"/>
      <c r="W567" s="532"/>
      <c r="X567" s="532"/>
      <c r="Y567" s="532"/>
      <c r="Z567" s="532"/>
      <c r="AA567" s="532"/>
      <c r="AB567" s="532"/>
      <c r="AC567" s="532"/>
      <c r="AD567" s="532"/>
      <c r="AE567" s="532"/>
      <c r="AF567" s="532"/>
      <c r="AG567" s="532"/>
      <c r="AH567" s="532"/>
      <c r="AI567" s="532"/>
      <c r="AJ567" s="532"/>
    </row>
    <row r="568" spans="13:36" ht="12.95" customHeight="1" x14ac:dyDescent="0.2">
      <c r="M568" s="532"/>
      <c r="N568" s="532"/>
      <c r="O568" s="532"/>
      <c r="P568" s="90"/>
      <c r="Q568" s="532"/>
      <c r="R568" s="219"/>
      <c r="S568" s="532"/>
      <c r="T568" s="90"/>
      <c r="U568" s="532"/>
      <c r="V568" s="532"/>
      <c r="W568" s="532"/>
      <c r="X568" s="532"/>
      <c r="Y568" s="532"/>
      <c r="Z568" s="532"/>
      <c r="AA568" s="532"/>
      <c r="AB568" s="532"/>
      <c r="AC568" s="532"/>
      <c r="AD568" s="532"/>
      <c r="AE568" s="532"/>
      <c r="AF568" s="532"/>
      <c r="AG568" s="532"/>
      <c r="AH568" s="532"/>
      <c r="AI568" s="532"/>
      <c r="AJ568" s="532"/>
    </row>
    <row r="569" spans="13:36" ht="12.95" customHeight="1" x14ac:dyDescent="0.2">
      <c r="M569" s="532"/>
      <c r="N569" s="532"/>
      <c r="O569" s="532"/>
      <c r="P569" s="90"/>
      <c r="Q569" s="532"/>
      <c r="R569" s="219"/>
      <c r="S569" s="532"/>
      <c r="T569" s="90"/>
      <c r="U569" s="532"/>
      <c r="V569" s="532"/>
      <c r="W569" s="532"/>
      <c r="X569" s="532"/>
      <c r="Y569" s="532"/>
      <c r="Z569" s="532"/>
      <c r="AA569" s="532"/>
      <c r="AB569" s="532"/>
      <c r="AC569" s="532"/>
      <c r="AD569" s="532"/>
      <c r="AE569" s="532"/>
      <c r="AF569" s="532"/>
      <c r="AG569" s="532"/>
      <c r="AH569" s="532"/>
      <c r="AI569" s="532"/>
      <c r="AJ569" s="532"/>
    </row>
    <row r="570" spans="13:36" ht="12.95" customHeight="1" x14ac:dyDescent="0.2">
      <c r="M570" s="532"/>
      <c r="N570" s="532"/>
      <c r="O570" s="532"/>
      <c r="P570" s="90"/>
      <c r="Q570" s="532"/>
      <c r="R570" s="219"/>
      <c r="S570" s="532"/>
      <c r="T570" s="90"/>
      <c r="U570" s="532"/>
      <c r="V570" s="532"/>
      <c r="W570" s="532"/>
      <c r="X570" s="532"/>
      <c r="Y570" s="532"/>
      <c r="Z570" s="532"/>
      <c r="AA570" s="532"/>
      <c r="AB570" s="532"/>
      <c r="AC570" s="532"/>
      <c r="AD570" s="532"/>
      <c r="AE570" s="532"/>
      <c r="AF570" s="532"/>
      <c r="AG570" s="532"/>
      <c r="AH570" s="532"/>
      <c r="AI570" s="532"/>
      <c r="AJ570" s="532"/>
    </row>
    <row r="571" spans="13:36" ht="12.95" customHeight="1" x14ac:dyDescent="0.2">
      <c r="M571" s="532"/>
      <c r="N571" s="532"/>
      <c r="O571" s="532"/>
      <c r="P571" s="90"/>
      <c r="Q571" s="532"/>
      <c r="R571" s="219"/>
      <c r="S571" s="532"/>
      <c r="T571" s="90"/>
      <c r="U571" s="532"/>
      <c r="V571" s="532"/>
      <c r="W571" s="532"/>
      <c r="X571" s="532"/>
      <c r="Y571" s="532"/>
      <c r="Z571" s="532"/>
      <c r="AA571" s="532"/>
      <c r="AB571" s="532"/>
      <c r="AC571" s="532"/>
      <c r="AD571" s="532"/>
      <c r="AE571" s="532"/>
      <c r="AF571" s="532"/>
      <c r="AG571" s="532"/>
      <c r="AH571" s="532"/>
      <c r="AI571" s="532"/>
      <c r="AJ571" s="532"/>
    </row>
    <row r="572" spans="13:36" ht="12.95" customHeight="1" x14ac:dyDescent="0.2">
      <c r="M572" s="532"/>
      <c r="N572" s="532"/>
      <c r="O572" s="532"/>
      <c r="P572" s="90"/>
      <c r="Q572" s="532"/>
      <c r="R572" s="219"/>
      <c r="S572" s="532"/>
      <c r="T572" s="90"/>
      <c r="U572" s="532"/>
      <c r="V572" s="532"/>
      <c r="W572" s="532"/>
      <c r="X572" s="532"/>
      <c r="Y572" s="532"/>
      <c r="Z572" s="532"/>
      <c r="AA572" s="532"/>
      <c r="AB572" s="532"/>
      <c r="AC572" s="532"/>
      <c r="AD572" s="532"/>
      <c r="AE572" s="532"/>
      <c r="AF572" s="532"/>
      <c r="AG572" s="532"/>
      <c r="AH572" s="532"/>
      <c r="AI572" s="532"/>
      <c r="AJ572" s="532"/>
    </row>
    <row r="573" spans="13:36" ht="12.95" customHeight="1" x14ac:dyDescent="0.2">
      <c r="M573" s="532"/>
      <c r="N573" s="532"/>
      <c r="O573" s="532"/>
      <c r="P573" s="90"/>
      <c r="Q573" s="532"/>
      <c r="R573" s="219"/>
      <c r="S573" s="532"/>
      <c r="T573" s="90"/>
      <c r="U573" s="532"/>
      <c r="V573" s="532"/>
      <c r="W573" s="532"/>
      <c r="X573" s="532"/>
      <c r="Y573" s="532"/>
      <c r="Z573" s="532"/>
      <c r="AA573" s="532"/>
      <c r="AB573" s="532"/>
      <c r="AC573" s="532"/>
      <c r="AD573" s="532"/>
      <c r="AE573" s="532"/>
      <c r="AF573" s="532"/>
      <c r="AG573" s="532"/>
      <c r="AH573" s="532"/>
      <c r="AI573" s="532"/>
      <c r="AJ573" s="532"/>
    </row>
    <row r="574" spans="13:36" ht="12.95" customHeight="1" x14ac:dyDescent="0.2">
      <c r="M574" s="532"/>
      <c r="N574" s="532"/>
      <c r="O574" s="532"/>
      <c r="P574" s="90"/>
      <c r="Q574" s="532"/>
      <c r="R574" s="219"/>
      <c r="S574" s="532"/>
      <c r="T574" s="90"/>
      <c r="U574" s="532"/>
      <c r="V574" s="532"/>
      <c r="W574" s="532"/>
      <c r="X574" s="532"/>
      <c r="Y574" s="532"/>
      <c r="Z574" s="532"/>
      <c r="AA574" s="532"/>
      <c r="AB574" s="532"/>
      <c r="AC574" s="532"/>
      <c r="AD574" s="532"/>
      <c r="AE574" s="532"/>
      <c r="AF574" s="532"/>
      <c r="AG574" s="532"/>
      <c r="AH574" s="532"/>
      <c r="AI574" s="532"/>
      <c r="AJ574" s="532"/>
    </row>
    <row r="575" spans="13:36" ht="12.95" customHeight="1" x14ac:dyDescent="0.2">
      <c r="M575" s="532"/>
      <c r="N575" s="532"/>
      <c r="O575" s="532"/>
      <c r="P575" s="90"/>
      <c r="Q575" s="532"/>
      <c r="R575" s="219"/>
      <c r="S575" s="532"/>
      <c r="T575" s="90"/>
      <c r="U575" s="532"/>
      <c r="V575" s="532"/>
      <c r="W575" s="532"/>
      <c r="X575" s="532"/>
      <c r="Y575" s="532"/>
      <c r="Z575" s="532"/>
      <c r="AA575" s="532"/>
      <c r="AB575" s="532"/>
      <c r="AC575" s="532"/>
      <c r="AD575" s="532"/>
      <c r="AE575" s="532"/>
      <c r="AF575" s="532"/>
      <c r="AG575" s="532"/>
      <c r="AH575" s="532"/>
      <c r="AI575" s="532"/>
      <c r="AJ575" s="532"/>
    </row>
    <row r="576" spans="13:36" ht="12.95" customHeight="1" x14ac:dyDescent="0.2">
      <c r="M576" s="532"/>
      <c r="N576" s="532"/>
      <c r="O576" s="532"/>
      <c r="P576" s="90"/>
      <c r="Q576" s="532"/>
      <c r="R576" s="219"/>
      <c r="S576" s="532"/>
      <c r="T576" s="90"/>
      <c r="U576" s="532"/>
      <c r="V576" s="532"/>
      <c r="W576" s="532"/>
      <c r="X576" s="532"/>
      <c r="Y576" s="532"/>
      <c r="Z576" s="532"/>
      <c r="AA576" s="532"/>
      <c r="AB576" s="532"/>
      <c r="AC576" s="532"/>
      <c r="AD576" s="532"/>
      <c r="AE576" s="532"/>
      <c r="AF576" s="532"/>
      <c r="AG576" s="532"/>
      <c r="AH576" s="532"/>
      <c r="AI576" s="532"/>
      <c r="AJ576" s="532"/>
    </row>
    <row r="577" spans="13:36" ht="12.95" customHeight="1" x14ac:dyDescent="0.2">
      <c r="M577" s="532"/>
      <c r="N577" s="532"/>
      <c r="O577" s="532"/>
      <c r="P577" s="90"/>
      <c r="Q577" s="532"/>
      <c r="R577" s="219"/>
      <c r="S577" s="532"/>
      <c r="T577" s="90"/>
      <c r="U577" s="532"/>
      <c r="V577" s="532"/>
      <c r="W577" s="532"/>
      <c r="X577" s="532"/>
      <c r="Y577" s="532"/>
      <c r="Z577" s="532"/>
      <c r="AA577" s="532"/>
      <c r="AB577" s="532"/>
      <c r="AC577" s="532"/>
      <c r="AD577" s="532"/>
      <c r="AE577" s="532"/>
      <c r="AF577" s="532"/>
      <c r="AG577" s="532"/>
      <c r="AH577" s="532"/>
      <c r="AI577" s="532"/>
      <c r="AJ577" s="532"/>
    </row>
    <row r="578" spans="13:36" ht="12.95" customHeight="1" x14ac:dyDescent="0.2">
      <c r="M578" s="532"/>
      <c r="N578" s="532"/>
      <c r="O578" s="532"/>
      <c r="P578" s="90"/>
      <c r="Q578" s="532"/>
      <c r="R578" s="219"/>
      <c r="S578" s="532"/>
      <c r="T578" s="90"/>
      <c r="U578" s="532"/>
      <c r="V578" s="532"/>
      <c r="W578" s="532"/>
      <c r="X578" s="532"/>
      <c r="Y578" s="532"/>
      <c r="Z578" s="532"/>
      <c r="AA578" s="532"/>
      <c r="AB578" s="532"/>
      <c r="AC578" s="532"/>
      <c r="AD578" s="532"/>
      <c r="AE578" s="532"/>
      <c r="AF578" s="532"/>
      <c r="AG578" s="532"/>
      <c r="AH578" s="532"/>
      <c r="AI578" s="532"/>
      <c r="AJ578" s="532"/>
    </row>
    <row r="579" spans="13:36" ht="12.95" customHeight="1" x14ac:dyDescent="0.2">
      <c r="M579" s="532"/>
      <c r="N579" s="532"/>
      <c r="O579" s="532"/>
      <c r="P579" s="90"/>
      <c r="Q579" s="532"/>
      <c r="R579" s="219"/>
      <c r="S579" s="532"/>
      <c r="T579" s="90"/>
      <c r="U579" s="532"/>
      <c r="V579" s="532"/>
      <c r="W579" s="532"/>
      <c r="X579" s="532"/>
      <c r="Y579" s="532"/>
      <c r="Z579" s="532"/>
      <c r="AA579" s="532"/>
      <c r="AB579" s="532"/>
      <c r="AC579" s="532"/>
      <c r="AD579" s="532"/>
      <c r="AE579" s="532"/>
      <c r="AF579" s="532"/>
      <c r="AG579" s="532"/>
      <c r="AH579" s="532"/>
      <c r="AI579" s="532"/>
      <c r="AJ579" s="532"/>
    </row>
    <row r="580" spans="13:36" ht="12.95" customHeight="1" x14ac:dyDescent="0.2">
      <c r="M580" s="532"/>
      <c r="N580" s="532"/>
      <c r="O580" s="532"/>
      <c r="P580" s="90"/>
      <c r="Q580" s="532"/>
      <c r="R580" s="219"/>
      <c r="S580" s="532"/>
      <c r="T580" s="90"/>
      <c r="U580" s="532"/>
      <c r="V580" s="532"/>
      <c r="W580" s="532"/>
      <c r="X580" s="532"/>
      <c r="Y580" s="532"/>
      <c r="Z580" s="532"/>
      <c r="AA580" s="532"/>
      <c r="AB580" s="532"/>
      <c r="AC580" s="532"/>
      <c r="AD580" s="532"/>
      <c r="AE580" s="532"/>
      <c r="AF580" s="532"/>
      <c r="AG580" s="532"/>
      <c r="AH580" s="532"/>
      <c r="AI580" s="532"/>
      <c r="AJ580" s="532"/>
    </row>
    <row r="581" spans="13:36" ht="12.95" customHeight="1" x14ac:dyDescent="0.2">
      <c r="M581" s="532"/>
      <c r="N581" s="532"/>
      <c r="O581" s="532"/>
      <c r="P581" s="90"/>
      <c r="Q581" s="532"/>
      <c r="R581" s="219"/>
      <c r="S581" s="532"/>
      <c r="T581" s="90"/>
      <c r="U581" s="532"/>
      <c r="V581" s="532"/>
      <c r="W581" s="532"/>
      <c r="X581" s="532"/>
      <c r="Y581" s="532"/>
      <c r="Z581" s="532"/>
      <c r="AA581" s="532"/>
      <c r="AB581" s="532"/>
      <c r="AC581" s="532"/>
      <c r="AD581" s="532"/>
      <c r="AE581" s="532"/>
      <c r="AF581" s="532"/>
      <c r="AG581" s="532"/>
      <c r="AH581" s="532"/>
      <c r="AI581" s="532"/>
      <c r="AJ581" s="532"/>
    </row>
    <row r="582" spans="13:36" ht="12.95" customHeight="1" x14ac:dyDescent="0.2">
      <c r="M582" s="532"/>
      <c r="N582" s="532"/>
      <c r="O582" s="532"/>
      <c r="P582" s="90"/>
      <c r="Q582" s="532"/>
      <c r="R582" s="219"/>
      <c r="S582" s="532"/>
      <c r="T582" s="90"/>
      <c r="U582" s="532"/>
      <c r="V582" s="532"/>
      <c r="W582" s="532"/>
      <c r="X582" s="532"/>
      <c r="Y582" s="532"/>
      <c r="Z582" s="532"/>
      <c r="AA582" s="532"/>
      <c r="AB582" s="532"/>
      <c r="AC582" s="532"/>
      <c r="AD582" s="532"/>
      <c r="AE582" s="532"/>
      <c r="AF582" s="532"/>
      <c r="AG582" s="532"/>
      <c r="AH582" s="532"/>
      <c r="AI582" s="532"/>
      <c r="AJ582" s="532"/>
    </row>
    <row r="583" spans="13:36" ht="12.95" customHeight="1" x14ac:dyDescent="0.2">
      <c r="M583" s="532"/>
      <c r="N583" s="532"/>
      <c r="O583" s="532"/>
      <c r="P583" s="90"/>
      <c r="Q583" s="532"/>
      <c r="R583" s="219"/>
      <c r="S583" s="532"/>
      <c r="T583" s="90"/>
      <c r="U583" s="532"/>
      <c r="V583" s="532"/>
      <c r="W583" s="532"/>
      <c r="X583" s="532"/>
      <c r="Y583" s="532"/>
      <c r="Z583" s="532"/>
      <c r="AA583" s="532"/>
      <c r="AB583" s="532"/>
      <c r="AC583" s="532"/>
      <c r="AD583" s="532"/>
      <c r="AE583" s="532"/>
      <c r="AF583" s="532"/>
      <c r="AG583" s="532"/>
      <c r="AH583" s="532"/>
      <c r="AI583" s="532"/>
      <c r="AJ583" s="532"/>
    </row>
    <row r="584" spans="13:36" ht="12.95" customHeight="1" x14ac:dyDescent="0.2">
      <c r="M584" s="532"/>
      <c r="N584" s="532"/>
      <c r="O584" s="532"/>
      <c r="P584" s="90"/>
      <c r="Q584" s="532"/>
      <c r="R584" s="219"/>
      <c r="S584" s="532"/>
      <c r="T584" s="90"/>
      <c r="U584" s="532"/>
      <c r="V584" s="532"/>
      <c r="W584" s="532"/>
      <c r="X584" s="532"/>
      <c r="Y584" s="532"/>
      <c r="Z584" s="532"/>
      <c r="AA584" s="532"/>
      <c r="AB584" s="532"/>
      <c r="AC584" s="532"/>
      <c r="AD584" s="532"/>
      <c r="AE584" s="532"/>
      <c r="AF584" s="532"/>
      <c r="AG584" s="532"/>
      <c r="AH584" s="532"/>
      <c r="AI584" s="532"/>
      <c r="AJ584" s="532"/>
    </row>
    <row r="585" spans="13:36" ht="12.95" customHeight="1" x14ac:dyDescent="0.2">
      <c r="M585" s="532"/>
      <c r="N585" s="532"/>
      <c r="O585" s="532"/>
      <c r="P585" s="90"/>
      <c r="Q585" s="532"/>
      <c r="R585" s="219"/>
      <c r="S585" s="532"/>
      <c r="T585" s="90"/>
      <c r="U585" s="532"/>
      <c r="V585" s="532"/>
      <c r="W585" s="532"/>
      <c r="X585" s="532"/>
      <c r="Y585" s="532"/>
      <c r="Z585" s="532"/>
      <c r="AA585" s="532"/>
      <c r="AB585" s="532"/>
      <c r="AC585" s="532"/>
      <c r="AD585" s="532"/>
      <c r="AE585" s="532"/>
      <c r="AF585" s="532"/>
      <c r="AG585" s="532"/>
      <c r="AH585" s="532"/>
      <c r="AI585" s="532"/>
      <c r="AJ585" s="532"/>
    </row>
    <row r="586" spans="13:36" ht="12.95" customHeight="1" x14ac:dyDescent="0.2">
      <c r="M586" s="532"/>
      <c r="N586" s="532"/>
      <c r="O586" s="532"/>
      <c r="P586" s="90"/>
      <c r="Q586" s="532"/>
      <c r="R586" s="219"/>
      <c r="S586" s="532"/>
      <c r="T586" s="90"/>
      <c r="U586" s="532"/>
      <c r="V586" s="532"/>
      <c r="W586" s="532"/>
      <c r="X586" s="532"/>
      <c r="Y586" s="532"/>
      <c r="Z586" s="532"/>
      <c r="AA586" s="532"/>
      <c r="AB586" s="532"/>
      <c r="AC586" s="532"/>
      <c r="AD586" s="532"/>
      <c r="AE586" s="532"/>
      <c r="AF586" s="532"/>
      <c r="AG586" s="532"/>
      <c r="AH586" s="532"/>
      <c r="AI586" s="532"/>
      <c r="AJ586" s="532"/>
    </row>
    <row r="587" spans="13:36" ht="12.95" customHeight="1" x14ac:dyDescent="0.2">
      <c r="M587" s="532"/>
      <c r="N587" s="532"/>
      <c r="O587" s="532"/>
      <c r="P587" s="90"/>
      <c r="Q587" s="532"/>
      <c r="R587" s="219"/>
      <c r="S587" s="532"/>
      <c r="T587" s="90"/>
      <c r="U587" s="532"/>
      <c r="V587" s="532"/>
      <c r="W587" s="532"/>
      <c r="X587" s="532"/>
      <c r="Y587" s="532"/>
      <c r="Z587" s="532"/>
      <c r="AA587" s="532"/>
      <c r="AB587" s="532"/>
      <c r="AC587" s="532"/>
      <c r="AD587" s="532"/>
      <c r="AE587" s="532"/>
      <c r="AF587" s="532"/>
      <c r="AG587" s="532"/>
      <c r="AH587" s="532"/>
      <c r="AI587" s="532"/>
      <c r="AJ587" s="532"/>
    </row>
    <row r="588" spans="13:36" ht="12.95" customHeight="1" x14ac:dyDescent="0.2">
      <c r="M588" s="532"/>
      <c r="N588" s="532"/>
      <c r="O588" s="532"/>
      <c r="P588" s="90"/>
      <c r="Q588" s="532"/>
      <c r="R588" s="219"/>
      <c r="S588" s="532"/>
      <c r="T588" s="90"/>
      <c r="U588" s="532"/>
      <c r="V588" s="532"/>
      <c r="W588" s="532"/>
      <c r="X588" s="532"/>
      <c r="Y588" s="532"/>
      <c r="Z588" s="532"/>
      <c r="AA588" s="532"/>
      <c r="AB588" s="532"/>
      <c r="AC588" s="532"/>
      <c r="AD588" s="532"/>
      <c r="AE588" s="532"/>
      <c r="AF588" s="532"/>
      <c r="AG588" s="532"/>
      <c r="AH588" s="532"/>
      <c r="AI588" s="532"/>
      <c r="AJ588" s="532"/>
    </row>
    <row r="589" spans="13:36" ht="12.95" customHeight="1" x14ac:dyDescent="0.2">
      <c r="M589" s="532"/>
      <c r="N589" s="532"/>
      <c r="O589" s="532"/>
      <c r="P589" s="90"/>
      <c r="Q589" s="532"/>
      <c r="R589" s="219"/>
      <c r="S589" s="532"/>
      <c r="T589" s="90"/>
      <c r="U589" s="532"/>
      <c r="V589" s="532"/>
      <c r="W589" s="532"/>
      <c r="X589" s="532"/>
      <c r="Y589" s="532"/>
      <c r="Z589" s="532"/>
      <c r="AA589" s="532"/>
      <c r="AB589" s="532"/>
      <c r="AC589" s="532"/>
      <c r="AD589" s="532"/>
      <c r="AE589" s="532"/>
      <c r="AF589" s="532"/>
      <c r="AG589" s="532"/>
      <c r="AH589" s="532"/>
      <c r="AI589" s="532"/>
      <c r="AJ589" s="532"/>
    </row>
    <row r="590" spans="13:36" ht="12.95" customHeight="1" x14ac:dyDescent="0.2">
      <c r="M590" s="532"/>
      <c r="N590" s="532"/>
      <c r="O590" s="532"/>
      <c r="P590" s="90"/>
      <c r="Q590" s="532"/>
      <c r="R590" s="219"/>
      <c r="S590" s="532"/>
      <c r="T590" s="90"/>
      <c r="U590" s="532"/>
      <c r="V590" s="532"/>
      <c r="W590" s="532"/>
      <c r="X590" s="532"/>
      <c r="Y590" s="532"/>
      <c r="Z590" s="532"/>
      <c r="AA590" s="532"/>
      <c r="AB590" s="532"/>
      <c r="AC590" s="532"/>
      <c r="AD590" s="532"/>
      <c r="AE590" s="532"/>
      <c r="AF590" s="532"/>
      <c r="AG590" s="532"/>
      <c r="AH590" s="532"/>
      <c r="AI590" s="532"/>
      <c r="AJ590" s="532"/>
    </row>
    <row r="591" spans="13:36" ht="12.95" customHeight="1" x14ac:dyDescent="0.2">
      <c r="M591" s="532"/>
      <c r="N591" s="532"/>
      <c r="O591" s="532"/>
      <c r="P591" s="90"/>
      <c r="Q591" s="532"/>
      <c r="R591" s="219"/>
      <c r="S591" s="532"/>
      <c r="T591" s="90"/>
      <c r="U591" s="532"/>
      <c r="V591" s="532"/>
      <c r="W591" s="532"/>
      <c r="X591" s="532"/>
      <c r="Y591" s="532"/>
      <c r="Z591" s="532"/>
      <c r="AA591" s="532"/>
      <c r="AB591" s="532"/>
      <c r="AC591" s="532"/>
      <c r="AD591" s="532"/>
      <c r="AE591" s="532"/>
      <c r="AF591" s="532"/>
      <c r="AG591" s="532"/>
      <c r="AH591" s="532"/>
      <c r="AI591" s="532"/>
      <c r="AJ591" s="532"/>
    </row>
    <row r="592" spans="13:36" ht="12.95" customHeight="1" x14ac:dyDescent="0.2">
      <c r="M592" s="532"/>
      <c r="N592" s="532"/>
      <c r="O592" s="532"/>
      <c r="P592" s="90"/>
      <c r="Q592" s="532"/>
      <c r="R592" s="219"/>
      <c r="S592" s="532"/>
      <c r="T592" s="90"/>
      <c r="U592" s="532"/>
      <c r="V592" s="532"/>
      <c r="W592" s="532"/>
      <c r="X592" s="532"/>
      <c r="Y592" s="532"/>
      <c r="Z592" s="532"/>
      <c r="AA592" s="532"/>
      <c r="AB592" s="532"/>
      <c r="AC592" s="532"/>
      <c r="AD592" s="532"/>
      <c r="AE592" s="532"/>
      <c r="AF592" s="532"/>
      <c r="AG592" s="532"/>
      <c r="AH592" s="532"/>
      <c r="AI592" s="532"/>
      <c r="AJ592" s="532"/>
    </row>
    <row r="593" spans="13:36" ht="12.95" customHeight="1" x14ac:dyDescent="0.2">
      <c r="M593" s="532"/>
      <c r="N593" s="532"/>
      <c r="O593" s="532"/>
      <c r="P593" s="90"/>
      <c r="Q593" s="532"/>
      <c r="R593" s="219"/>
      <c r="S593" s="532"/>
      <c r="T593" s="90"/>
      <c r="U593" s="532"/>
      <c r="V593" s="532"/>
      <c r="W593" s="532"/>
      <c r="X593" s="532"/>
      <c r="Y593" s="532"/>
      <c r="Z593" s="532"/>
      <c r="AA593" s="532"/>
      <c r="AB593" s="532"/>
      <c r="AC593" s="532"/>
      <c r="AD593" s="532"/>
      <c r="AE593" s="532"/>
      <c r="AF593" s="532"/>
      <c r="AG593" s="532"/>
      <c r="AH593" s="532"/>
      <c r="AI593" s="532"/>
      <c r="AJ593" s="532"/>
    </row>
    <row r="594" spans="13:36" ht="12.95" customHeight="1" x14ac:dyDescent="0.2">
      <c r="M594" s="532"/>
      <c r="N594" s="532"/>
      <c r="O594" s="532"/>
      <c r="P594" s="90"/>
      <c r="Q594" s="532"/>
      <c r="R594" s="219"/>
      <c r="S594" s="532"/>
      <c r="T594" s="90"/>
      <c r="U594" s="532"/>
      <c r="V594" s="532"/>
      <c r="W594" s="532"/>
      <c r="X594" s="532"/>
      <c r="Y594" s="532"/>
      <c r="Z594" s="532"/>
      <c r="AA594" s="532"/>
      <c r="AB594" s="532"/>
      <c r="AC594" s="532"/>
      <c r="AD594" s="532"/>
      <c r="AE594" s="532"/>
      <c r="AF594" s="532"/>
      <c r="AG594" s="532"/>
      <c r="AH594" s="532"/>
      <c r="AI594" s="532"/>
      <c r="AJ594" s="532"/>
    </row>
    <row r="595" spans="13:36" ht="12.95" customHeight="1" x14ac:dyDescent="0.2">
      <c r="M595" s="532"/>
      <c r="N595" s="532"/>
      <c r="O595" s="532"/>
      <c r="P595" s="90"/>
      <c r="Q595" s="532"/>
      <c r="R595" s="219"/>
      <c r="S595" s="532"/>
      <c r="T595" s="90"/>
      <c r="U595" s="532"/>
      <c r="V595" s="532"/>
      <c r="W595" s="532"/>
      <c r="X595" s="532"/>
      <c r="Y595" s="532"/>
      <c r="Z595" s="532"/>
      <c r="AA595" s="532"/>
      <c r="AB595" s="532"/>
      <c r="AC595" s="532"/>
      <c r="AD595" s="532"/>
      <c r="AE595" s="532"/>
      <c r="AF595" s="532"/>
      <c r="AG595" s="532"/>
      <c r="AH595" s="532"/>
      <c r="AI595" s="532"/>
      <c r="AJ595" s="532"/>
    </row>
    <row r="596" spans="13:36" ht="12.95" customHeight="1" x14ac:dyDescent="0.2">
      <c r="M596" s="532"/>
      <c r="N596" s="532"/>
      <c r="O596" s="532"/>
      <c r="P596" s="90"/>
      <c r="Q596" s="532"/>
      <c r="R596" s="219"/>
      <c r="S596" s="532"/>
      <c r="T596" s="90"/>
      <c r="U596" s="532"/>
      <c r="V596" s="532"/>
      <c r="W596" s="532"/>
      <c r="X596" s="532"/>
      <c r="Y596" s="532"/>
      <c r="Z596" s="532"/>
      <c r="AA596" s="532"/>
      <c r="AB596" s="532"/>
      <c r="AC596" s="532"/>
      <c r="AD596" s="532"/>
      <c r="AE596" s="532"/>
      <c r="AF596" s="532"/>
      <c r="AG596" s="532"/>
      <c r="AH596" s="532"/>
      <c r="AI596" s="532"/>
      <c r="AJ596" s="532"/>
    </row>
    <row r="597" spans="13:36" ht="12.95" customHeight="1" x14ac:dyDescent="0.2">
      <c r="M597" s="532"/>
      <c r="N597" s="532"/>
      <c r="O597" s="532"/>
      <c r="P597" s="90"/>
      <c r="Q597" s="532"/>
      <c r="R597" s="219"/>
      <c r="S597" s="532"/>
      <c r="T597" s="90"/>
      <c r="U597" s="532"/>
      <c r="V597" s="532"/>
      <c r="W597" s="532"/>
      <c r="X597" s="532"/>
      <c r="Y597" s="532"/>
      <c r="Z597" s="532"/>
      <c r="AA597" s="532"/>
      <c r="AB597" s="532"/>
      <c r="AC597" s="532"/>
      <c r="AD597" s="532"/>
      <c r="AE597" s="532"/>
      <c r="AF597" s="532"/>
      <c r="AG597" s="532"/>
      <c r="AH597" s="532"/>
      <c r="AI597" s="532"/>
      <c r="AJ597" s="532"/>
    </row>
    <row r="598" spans="13:36" ht="12.95" customHeight="1" x14ac:dyDescent="0.2">
      <c r="M598" s="532"/>
      <c r="N598" s="532"/>
      <c r="O598" s="532"/>
      <c r="P598" s="90"/>
      <c r="Q598" s="532"/>
      <c r="R598" s="219"/>
      <c r="S598" s="532"/>
      <c r="T598" s="90"/>
      <c r="U598" s="532"/>
      <c r="V598" s="532"/>
      <c r="W598" s="532"/>
      <c r="X598" s="532"/>
      <c r="Y598" s="532"/>
      <c r="Z598" s="532"/>
      <c r="AA598" s="532"/>
      <c r="AB598" s="532"/>
      <c r="AC598" s="532"/>
      <c r="AD598" s="532"/>
      <c r="AE598" s="532"/>
      <c r="AF598" s="532"/>
      <c r="AG598" s="532"/>
      <c r="AH598" s="532"/>
      <c r="AI598" s="532"/>
      <c r="AJ598" s="532"/>
    </row>
    <row r="599" spans="13:36" ht="12.95" customHeight="1" x14ac:dyDescent="0.2">
      <c r="M599" s="532"/>
      <c r="N599" s="532"/>
      <c r="O599" s="532"/>
      <c r="P599" s="90"/>
      <c r="Q599" s="532"/>
      <c r="R599" s="219"/>
      <c r="S599" s="532"/>
      <c r="T599" s="90"/>
      <c r="U599" s="532"/>
      <c r="V599" s="532"/>
      <c r="W599" s="532"/>
      <c r="X599" s="532"/>
      <c r="Y599" s="532"/>
      <c r="Z599" s="532"/>
      <c r="AA599" s="532"/>
      <c r="AB599" s="532"/>
      <c r="AC599" s="532"/>
      <c r="AD599" s="532"/>
      <c r="AE599" s="532"/>
      <c r="AF599" s="532"/>
      <c r="AG599" s="532"/>
      <c r="AH599" s="532"/>
      <c r="AI599" s="532"/>
      <c r="AJ599" s="532"/>
    </row>
    <row r="600" spans="13:36" ht="12.95" customHeight="1" x14ac:dyDescent="0.2">
      <c r="M600" s="532"/>
      <c r="N600" s="532"/>
      <c r="O600" s="532"/>
      <c r="P600" s="90"/>
      <c r="Q600" s="532"/>
      <c r="R600" s="219"/>
      <c r="S600" s="532"/>
      <c r="T600" s="90"/>
      <c r="U600" s="532"/>
      <c r="V600" s="532"/>
      <c r="W600" s="532"/>
      <c r="X600" s="532"/>
      <c r="Y600" s="532"/>
      <c r="Z600" s="532"/>
      <c r="AA600" s="532"/>
      <c r="AB600" s="532"/>
      <c r="AC600" s="532"/>
      <c r="AD600" s="532"/>
      <c r="AE600" s="532"/>
      <c r="AF600" s="532"/>
      <c r="AG600" s="532"/>
      <c r="AH600" s="532"/>
      <c r="AI600" s="532"/>
      <c r="AJ600" s="532"/>
    </row>
    <row r="601" spans="13:36" ht="12.95" customHeight="1" x14ac:dyDescent="0.2">
      <c r="M601" s="532"/>
      <c r="N601" s="532"/>
      <c r="O601" s="532"/>
      <c r="P601" s="90"/>
      <c r="Q601" s="532"/>
      <c r="R601" s="219"/>
      <c r="S601" s="532"/>
      <c r="T601" s="90"/>
      <c r="U601" s="532"/>
      <c r="V601" s="532"/>
      <c r="W601" s="532"/>
      <c r="X601" s="532"/>
      <c r="Y601" s="532"/>
      <c r="Z601" s="532"/>
      <c r="AA601" s="532"/>
      <c r="AB601" s="532"/>
      <c r="AC601" s="532"/>
      <c r="AD601" s="532"/>
      <c r="AE601" s="532"/>
      <c r="AF601" s="532"/>
      <c r="AG601" s="532"/>
      <c r="AH601" s="532"/>
      <c r="AI601" s="532"/>
      <c r="AJ601" s="532"/>
    </row>
    <row r="602" spans="13:36" ht="12.95" customHeight="1" x14ac:dyDescent="0.2">
      <c r="M602" s="532"/>
      <c r="N602" s="532"/>
      <c r="O602" s="532"/>
      <c r="P602" s="90"/>
      <c r="Q602" s="532"/>
      <c r="R602" s="219"/>
      <c r="S602" s="532"/>
      <c r="T602" s="90"/>
      <c r="U602" s="532"/>
      <c r="V602" s="532"/>
      <c r="W602" s="532"/>
      <c r="X602" s="532"/>
      <c r="Y602" s="532"/>
      <c r="Z602" s="532"/>
      <c r="AA602" s="532"/>
      <c r="AB602" s="532"/>
      <c r="AC602" s="532"/>
      <c r="AD602" s="532"/>
      <c r="AE602" s="532"/>
      <c r="AF602" s="532"/>
      <c r="AG602" s="532"/>
      <c r="AH602" s="532"/>
      <c r="AI602" s="532"/>
      <c r="AJ602" s="532"/>
    </row>
    <row r="603" spans="13:36" ht="12.95" customHeight="1" x14ac:dyDescent="0.2">
      <c r="M603" s="532"/>
      <c r="N603" s="532"/>
      <c r="O603" s="532"/>
      <c r="P603" s="90"/>
      <c r="Q603" s="532"/>
      <c r="R603" s="219"/>
      <c r="S603" s="532"/>
      <c r="T603" s="90"/>
      <c r="U603" s="532"/>
      <c r="V603" s="532"/>
      <c r="W603" s="532"/>
      <c r="X603" s="532"/>
      <c r="Y603" s="532"/>
      <c r="Z603" s="532"/>
      <c r="AA603" s="532"/>
      <c r="AB603" s="532"/>
      <c r="AC603" s="532"/>
      <c r="AD603" s="532"/>
      <c r="AE603" s="532"/>
      <c r="AF603" s="532"/>
      <c r="AG603" s="532"/>
      <c r="AH603" s="532"/>
      <c r="AI603" s="532"/>
      <c r="AJ603" s="532"/>
    </row>
    <row r="604" spans="13:36" ht="12.95" customHeight="1" x14ac:dyDescent="0.2">
      <c r="M604" s="532"/>
      <c r="N604" s="532"/>
      <c r="O604" s="532"/>
      <c r="P604" s="90"/>
      <c r="Q604" s="532"/>
      <c r="R604" s="219"/>
      <c r="S604" s="532"/>
      <c r="T604" s="90"/>
      <c r="U604" s="532"/>
      <c r="V604" s="532"/>
      <c r="W604" s="532"/>
      <c r="X604" s="532"/>
      <c r="Y604" s="532"/>
      <c r="Z604" s="532"/>
      <c r="AA604" s="532"/>
      <c r="AB604" s="532"/>
      <c r="AC604" s="532"/>
      <c r="AD604" s="532"/>
      <c r="AE604" s="532"/>
      <c r="AF604" s="532"/>
      <c r="AG604" s="532"/>
      <c r="AH604" s="532"/>
      <c r="AI604" s="532"/>
      <c r="AJ604" s="532"/>
    </row>
    <row r="605" spans="13:36" ht="12.95" customHeight="1" x14ac:dyDescent="0.2">
      <c r="M605" s="532"/>
      <c r="N605" s="532"/>
      <c r="O605" s="532"/>
      <c r="P605" s="90"/>
      <c r="Q605" s="532"/>
      <c r="R605" s="219"/>
      <c r="S605" s="532"/>
      <c r="T605" s="90"/>
      <c r="U605" s="532"/>
      <c r="V605" s="532"/>
      <c r="W605" s="532"/>
      <c r="X605" s="532"/>
      <c r="Y605" s="532"/>
      <c r="Z605" s="532"/>
      <c r="AA605" s="532"/>
      <c r="AB605" s="532"/>
      <c r="AC605" s="532"/>
      <c r="AD605" s="532"/>
      <c r="AE605" s="532"/>
      <c r="AF605" s="532"/>
      <c r="AG605" s="532"/>
      <c r="AH605" s="532"/>
      <c r="AI605" s="532"/>
      <c r="AJ605" s="532"/>
    </row>
    <row r="606" spans="13:36" ht="12.95" customHeight="1" x14ac:dyDescent="0.2">
      <c r="M606" s="532"/>
      <c r="N606" s="532"/>
      <c r="O606" s="532"/>
      <c r="P606" s="90"/>
      <c r="Q606" s="532"/>
      <c r="R606" s="219"/>
      <c r="S606" s="532"/>
      <c r="T606" s="90"/>
      <c r="U606" s="532"/>
      <c r="V606" s="532"/>
      <c r="W606" s="532"/>
      <c r="X606" s="532"/>
      <c r="Y606" s="532"/>
      <c r="Z606" s="532"/>
      <c r="AA606" s="532"/>
      <c r="AB606" s="532"/>
      <c r="AC606" s="532"/>
      <c r="AD606" s="532"/>
      <c r="AE606" s="532"/>
      <c r="AF606" s="532"/>
      <c r="AG606" s="532"/>
      <c r="AH606" s="532"/>
      <c r="AI606" s="532"/>
      <c r="AJ606" s="532"/>
    </row>
    <row r="607" spans="13:36" ht="12.95" customHeight="1" x14ac:dyDescent="0.2">
      <c r="M607" s="532"/>
      <c r="N607" s="532"/>
      <c r="O607" s="532"/>
      <c r="P607" s="90"/>
      <c r="Q607" s="532"/>
      <c r="R607" s="219"/>
      <c r="S607" s="532"/>
      <c r="T607" s="90"/>
      <c r="U607" s="532"/>
      <c r="V607" s="532"/>
      <c r="W607" s="532"/>
      <c r="X607" s="532"/>
      <c r="Y607" s="532"/>
      <c r="Z607" s="532"/>
      <c r="AA607" s="532"/>
      <c r="AB607" s="532"/>
      <c r="AC607" s="532"/>
      <c r="AD607" s="532"/>
      <c r="AE607" s="532"/>
      <c r="AF607" s="532"/>
      <c r="AG607" s="532"/>
      <c r="AH607" s="532"/>
      <c r="AI607" s="532"/>
      <c r="AJ607" s="532"/>
    </row>
    <row r="608" spans="13:36" ht="12.95" customHeight="1" x14ac:dyDescent="0.2">
      <c r="M608" s="532"/>
      <c r="N608" s="532"/>
      <c r="O608" s="532"/>
      <c r="P608" s="90"/>
      <c r="Q608" s="532"/>
      <c r="R608" s="219"/>
      <c r="S608" s="532"/>
      <c r="T608" s="90"/>
      <c r="U608" s="532"/>
      <c r="V608" s="532"/>
      <c r="W608" s="532"/>
      <c r="X608" s="532"/>
      <c r="Y608" s="532"/>
      <c r="Z608" s="532"/>
      <c r="AA608" s="532"/>
      <c r="AB608" s="532"/>
      <c r="AC608" s="532"/>
      <c r="AD608" s="532"/>
      <c r="AE608" s="532"/>
      <c r="AF608" s="532"/>
      <c r="AG608" s="532"/>
      <c r="AH608" s="532"/>
      <c r="AI608" s="532"/>
      <c r="AJ608" s="532"/>
    </row>
    <row r="609" spans="13:36" ht="12.95" customHeight="1" x14ac:dyDescent="0.2">
      <c r="M609" s="532"/>
      <c r="N609" s="532"/>
      <c r="O609" s="532"/>
      <c r="P609" s="90"/>
      <c r="Q609" s="532"/>
      <c r="R609" s="219"/>
      <c r="S609" s="532"/>
      <c r="T609" s="90"/>
      <c r="U609" s="532"/>
      <c r="V609" s="532"/>
      <c r="W609" s="532"/>
      <c r="X609" s="532"/>
      <c r="Y609" s="532"/>
      <c r="Z609" s="532"/>
      <c r="AA609" s="532"/>
      <c r="AB609" s="532"/>
      <c r="AC609" s="532"/>
      <c r="AD609" s="532"/>
      <c r="AE609" s="532"/>
      <c r="AF609" s="532"/>
      <c r="AG609" s="532"/>
      <c r="AH609" s="532"/>
      <c r="AI609" s="532"/>
      <c r="AJ609" s="532"/>
    </row>
    <row r="610" spans="13:36" ht="12.95" customHeight="1" x14ac:dyDescent="0.2">
      <c r="M610" s="532"/>
      <c r="N610" s="532"/>
      <c r="O610" s="532"/>
      <c r="P610" s="90"/>
      <c r="Q610" s="532"/>
      <c r="R610" s="219"/>
      <c r="S610" s="532"/>
      <c r="T610" s="90"/>
      <c r="U610" s="532"/>
      <c r="V610" s="532"/>
      <c r="W610" s="532"/>
      <c r="X610" s="532"/>
      <c r="Y610" s="532"/>
      <c r="Z610" s="532"/>
      <c r="AA610" s="532"/>
      <c r="AB610" s="532"/>
      <c r="AC610" s="532"/>
      <c r="AD610" s="532"/>
      <c r="AE610" s="532"/>
      <c r="AF610" s="532"/>
      <c r="AG610" s="532"/>
      <c r="AH610" s="532"/>
      <c r="AI610" s="532"/>
      <c r="AJ610" s="532"/>
    </row>
    <row r="611" spans="13:36" ht="12.95" customHeight="1" x14ac:dyDescent="0.2">
      <c r="M611" s="532"/>
      <c r="N611" s="532"/>
      <c r="O611" s="532"/>
      <c r="P611" s="90"/>
      <c r="Q611" s="532"/>
      <c r="R611" s="219"/>
      <c r="S611" s="532"/>
      <c r="T611" s="90"/>
      <c r="U611" s="532"/>
      <c r="V611" s="532"/>
      <c r="W611" s="532"/>
      <c r="X611" s="532"/>
      <c r="Y611" s="532"/>
      <c r="Z611" s="532"/>
      <c r="AA611" s="532"/>
      <c r="AB611" s="532"/>
      <c r="AC611" s="532"/>
      <c r="AD611" s="532"/>
      <c r="AE611" s="532"/>
      <c r="AF611" s="532"/>
      <c r="AG611" s="532"/>
      <c r="AH611" s="532"/>
      <c r="AI611" s="532"/>
      <c r="AJ611" s="532"/>
    </row>
    <row r="612" spans="13:36" ht="12.95" customHeight="1" x14ac:dyDescent="0.2">
      <c r="M612" s="532"/>
      <c r="N612" s="532"/>
      <c r="O612" s="532"/>
      <c r="P612" s="90"/>
      <c r="Q612" s="532"/>
      <c r="R612" s="219"/>
      <c r="S612" s="532"/>
      <c r="T612" s="90"/>
      <c r="U612" s="532"/>
      <c r="V612" s="532"/>
      <c r="W612" s="532"/>
      <c r="X612" s="532"/>
      <c r="Y612" s="532"/>
      <c r="Z612" s="532"/>
      <c r="AA612" s="532"/>
      <c r="AB612" s="532"/>
      <c r="AC612" s="532"/>
      <c r="AD612" s="532"/>
      <c r="AE612" s="532"/>
      <c r="AF612" s="532"/>
      <c r="AG612" s="532"/>
      <c r="AH612" s="532"/>
      <c r="AI612" s="532"/>
      <c r="AJ612" s="532"/>
    </row>
    <row r="613" spans="13:36" ht="12.95" customHeight="1" x14ac:dyDescent="0.2">
      <c r="M613" s="532"/>
      <c r="N613" s="532"/>
      <c r="O613" s="532"/>
      <c r="P613" s="90"/>
      <c r="Q613" s="532"/>
      <c r="R613" s="219"/>
      <c r="S613" s="532"/>
      <c r="T613" s="90"/>
      <c r="U613" s="532"/>
      <c r="V613" s="532"/>
      <c r="W613" s="532"/>
      <c r="X613" s="532"/>
      <c r="Y613" s="532"/>
      <c r="Z613" s="532"/>
      <c r="AA613" s="532"/>
      <c r="AB613" s="532"/>
      <c r="AC613" s="532"/>
      <c r="AD613" s="532"/>
      <c r="AE613" s="532"/>
      <c r="AF613" s="532"/>
      <c r="AG613" s="532"/>
      <c r="AH613" s="532"/>
      <c r="AI613" s="532"/>
      <c r="AJ613" s="532"/>
    </row>
    <row r="614" spans="13:36" ht="12.95" customHeight="1" x14ac:dyDescent="0.2">
      <c r="M614" s="532"/>
      <c r="N614" s="532"/>
      <c r="O614" s="532"/>
      <c r="P614" s="90"/>
      <c r="Q614" s="532"/>
      <c r="R614" s="219"/>
      <c r="S614" s="532"/>
      <c r="T614" s="90"/>
      <c r="U614" s="532"/>
      <c r="V614" s="532"/>
      <c r="W614" s="532"/>
      <c r="X614" s="532"/>
      <c r="Y614" s="532"/>
      <c r="Z614" s="532"/>
      <c r="AA614" s="532"/>
      <c r="AB614" s="532"/>
      <c r="AC614" s="532"/>
      <c r="AD614" s="532"/>
      <c r="AE614" s="532"/>
      <c r="AF614" s="532"/>
      <c r="AG614" s="532"/>
      <c r="AH614" s="532"/>
      <c r="AI614" s="532"/>
      <c r="AJ614" s="532"/>
    </row>
    <row r="615" spans="13:36" ht="12.95" customHeight="1" x14ac:dyDescent="0.2">
      <c r="M615" s="532"/>
      <c r="N615" s="532"/>
      <c r="O615" s="532"/>
      <c r="P615" s="90"/>
      <c r="Q615" s="532"/>
      <c r="R615" s="219"/>
      <c r="S615" s="532"/>
      <c r="T615" s="90"/>
      <c r="U615" s="532"/>
      <c r="V615" s="532"/>
      <c r="W615" s="532"/>
      <c r="X615" s="532"/>
      <c r="Y615" s="532"/>
      <c r="Z615" s="532"/>
      <c r="AA615" s="532"/>
      <c r="AB615" s="532"/>
      <c r="AC615" s="532"/>
      <c r="AD615" s="532"/>
      <c r="AE615" s="532"/>
      <c r="AF615" s="532"/>
      <c r="AG615" s="532"/>
      <c r="AH615" s="532"/>
      <c r="AI615" s="532"/>
      <c r="AJ615" s="532"/>
    </row>
    <row r="616" spans="13:36" ht="12.95" customHeight="1" x14ac:dyDescent="0.2">
      <c r="M616" s="532"/>
      <c r="N616" s="532"/>
      <c r="O616" s="532"/>
      <c r="P616" s="90"/>
      <c r="Q616" s="532"/>
      <c r="R616" s="219"/>
      <c r="S616" s="532"/>
      <c r="T616" s="90"/>
      <c r="U616" s="532"/>
      <c r="V616" s="532"/>
      <c r="W616" s="532"/>
      <c r="X616" s="532"/>
      <c r="Y616" s="532"/>
      <c r="Z616" s="532"/>
      <c r="AA616" s="532"/>
      <c r="AB616" s="532"/>
      <c r="AC616" s="532"/>
      <c r="AD616" s="532"/>
      <c r="AE616" s="532"/>
      <c r="AF616" s="532"/>
      <c r="AG616" s="532"/>
      <c r="AH616" s="532"/>
      <c r="AI616" s="532"/>
      <c r="AJ616" s="532"/>
    </row>
    <row r="617" spans="13:36" ht="12.95" customHeight="1" x14ac:dyDescent="0.2">
      <c r="M617" s="532"/>
      <c r="N617" s="532"/>
      <c r="O617" s="532"/>
      <c r="P617" s="90"/>
      <c r="Q617" s="532"/>
      <c r="R617" s="219"/>
      <c r="S617" s="532"/>
      <c r="T617" s="90"/>
      <c r="U617" s="532"/>
      <c r="V617" s="532"/>
      <c r="W617" s="532"/>
      <c r="X617" s="532"/>
      <c r="Y617" s="532"/>
      <c r="Z617" s="532"/>
      <c r="AA617" s="532"/>
      <c r="AB617" s="532"/>
      <c r="AC617" s="532"/>
      <c r="AD617" s="532"/>
      <c r="AE617" s="532"/>
      <c r="AF617" s="532"/>
      <c r="AG617" s="532"/>
      <c r="AH617" s="532"/>
      <c r="AI617" s="532"/>
      <c r="AJ617" s="532"/>
    </row>
    <row r="618" spans="13:36" ht="12.95" customHeight="1" x14ac:dyDescent="0.2">
      <c r="M618" s="532"/>
      <c r="N618" s="532"/>
      <c r="O618" s="532"/>
      <c r="P618" s="90"/>
      <c r="Q618" s="532"/>
      <c r="R618" s="219"/>
      <c r="S618" s="532"/>
      <c r="T618" s="90"/>
      <c r="U618" s="532"/>
      <c r="V618" s="532"/>
      <c r="W618" s="532"/>
      <c r="X618" s="532"/>
      <c r="Y618" s="532"/>
      <c r="Z618" s="532"/>
      <c r="AA618" s="532"/>
      <c r="AB618" s="532"/>
      <c r="AC618" s="532"/>
      <c r="AD618" s="532"/>
      <c r="AE618" s="532"/>
      <c r="AF618" s="532"/>
      <c r="AG618" s="532"/>
      <c r="AH618" s="532"/>
      <c r="AI618" s="532"/>
      <c r="AJ618" s="532"/>
    </row>
    <row r="619" spans="13:36" ht="12.95" customHeight="1" x14ac:dyDescent="0.2">
      <c r="M619" s="532"/>
      <c r="N619" s="532"/>
      <c r="O619" s="532"/>
      <c r="P619" s="90"/>
      <c r="Q619" s="532"/>
      <c r="R619" s="219"/>
      <c r="S619" s="532"/>
      <c r="T619" s="90"/>
      <c r="U619" s="532"/>
      <c r="V619" s="532"/>
      <c r="W619" s="532"/>
      <c r="X619" s="532"/>
      <c r="Y619" s="532"/>
      <c r="Z619" s="532"/>
      <c r="AA619" s="532"/>
      <c r="AB619" s="532"/>
      <c r="AC619" s="532"/>
      <c r="AD619" s="532"/>
      <c r="AE619" s="532"/>
      <c r="AF619" s="532"/>
      <c r="AG619" s="532"/>
      <c r="AH619" s="532"/>
      <c r="AI619" s="532"/>
      <c r="AJ619" s="532"/>
    </row>
    <row r="620" spans="13:36" ht="12.95" customHeight="1" x14ac:dyDescent="0.2">
      <c r="M620" s="532"/>
      <c r="N620" s="532"/>
      <c r="O620" s="532"/>
      <c r="P620" s="90"/>
      <c r="Q620" s="532"/>
      <c r="R620" s="219"/>
      <c r="S620" s="532"/>
      <c r="T620" s="90"/>
      <c r="U620" s="532"/>
      <c r="V620" s="532"/>
      <c r="W620" s="532"/>
      <c r="X620" s="532"/>
      <c r="Y620" s="532"/>
      <c r="Z620" s="532"/>
      <c r="AA620" s="532"/>
      <c r="AB620" s="532"/>
      <c r="AC620" s="532"/>
      <c r="AD620" s="532"/>
      <c r="AE620" s="532"/>
      <c r="AF620" s="532"/>
      <c r="AG620" s="532"/>
      <c r="AH620" s="532"/>
      <c r="AI620" s="532"/>
      <c r="AJ620" s="532"/>
    </row>
    <row r="621" spans="13:36" ht="12.95" customHeight="1" x14ac:dyDescent="0.2">
      <c r="M621" s="532"/>
      <c r="N621" s="532"/>
      <c r="O621" s="532"/>
      <c r="P621" s="90"/>
      <c r="Q621" s="532"/>
      <c r="R621" s="219"/>
      <c r="S621" s="532"/>
      <c r="T621" s="90"/>
      <c r="U621" s="532"/>
      <c r="V621" s="532"/>
      <c r="W621" s="532"/>
      <c r="X621" s="532"/>
      <c r="Y621" s="532"/>
      <c r="Z621" s="532"/>
      <c r="AA621" s="532"/>
      <c r="AB621" s="532"/>
      <c r="AC621" s="532"/>
      <c r="AD621" s="532"/>
      <c r="AE621" s="532"/>
      <c r="AF621" s="532"/>
      <c r="AG621" s="532"/>
      <c r="AH621" s="532"/>
      <c r="AI621" s="532"/>
      <c r="AJ621" s="532"/>
    </row>
    <row r="622" spans="13:36" ht="12.95" customHeight="1" x14ac:dyDescent="0.2">
      <c r="M622" s="532"/>
      <c r="N622" s="532"/>
      <c r="O622" s="532"/>
      <c r="P622" s="90"/>
      <c r="Q622" s="532"/>
      <c r="R622" s="219"/>
      <c r="S622" s="532"/>
      <c r="T622" s="90"/>
      <c r="U622" s="532"/>
      <c r="V622" s="532"/>
      <c r="W622" s="532"/>
      <c r="X622" s="532"/>
      <c r="Y622" s="532"/>
      <c r="Z622" s="532"/>
      <c r="AA622" s="532"/>
      <c r="AB622" s="532"/>
      <c r="AC622" s="532"/>
      <c r="AD622" s="532"/>
      <c r="AE622" s="532"/>
      <c r="AF622" s="532"/>
      <c r="AG622" s="532"/>
      <c r="AH622" s="532"/>
      <c r="AI622" s="532"/>
      <c r="AJ622" s="532"/>
    </row>
    <row r="623" spans="13:36" ht="12.95" customHeight="1" x14ac:dyDescent="0.2">
      <c r="M623" s="532"/>
      <c r="N623" s="532"/>
      <c r="O623" s="532"/>
      <c r="P623" s="90"/>
      <c r="Q623" s="532"/>
      <c r="R623" s="219"/>
      <c r="S623" s="532"/>
      <c r="T623" s="90"/>
      <c r="U623" s="532"/>
      <c r="V623" s="532"/>
      <c r="W623" s="532"/>
      <c r="X623" s="532"/>
      <c r="Y623" s="532"/>
      <c r="Z623" s="532"/>
      <c r="AA623" s="532"/>
      <c r="AB623" s="532"/>
      <c r="AC623" s="532"/>
      <c r="AD623" s="532"/>
      <c r="AE623" s="532"/>
      <c r="AF623" s="532"/>
      <c r="AG623" s="532"/>
      <c r="AH623" s="532"/>
      <c r="AI623" s="532"/>
      <c r="AJ623" s="532"/>
    </row>
    <row r="624" spans="13:36" ht="12.95" customHeight="1" x14ac:dyDescent="0.2">
      <c r="M624" s="532"/>
      <c r="N624" s="532"/>
      <c r="O624" s="532"/>
      <c r="P624" s="90"/>
      <c r="Q624" s="532"/>
      <c r="R624" s="219"/>
      <c r="S624" s="532"/>
      <c r="T624" s="90"/>
      <c r="U624" s="532"/>
      <c r="V624" s="532"/>
      <c r="W624" s="532"/>
      <c r="X624" s="532"/>
      <c r="Y624" s="532"/>
      <c r="Z624" s="532"/>
      <c r="AA624" s="532"/>
      <c r="AB624" s="532"/>
      <c r="AC624" s="532"/>
      <c r="AD624" s="532"/>
      <c r="AE624" s="532"/>
      <c r="AF624" s="532"/>
      <c r="AG624" s="532"/>
      <c r="AH624" s="532"/>
      <c r="AI624" s="532"/>
      <c r="AJ624" s="532"/>
    </row>
    <row r="625" spans="13:36" ht="12.95" customHeight="1" x14ac:dyDescent="0.2">
      <c r="M625" s="532"/>
      <c r="N625" s="532"/>
      <c r="O625" s="532"/>
      <c r="P625" s="90"/>
      <c r="Q625" s="532"/>
      <c r="R625" s="219"/>
      <c r="S625" s="532"/>
      <c r="T625" s="90"/>
      <c r="U625" s="532"/>
      <c r="V625" s="532"/>
      <c r="W625" s="532"/>
      <c r="X625" s="532"/>
      <c r="Y625" s="532"/>
      <c r="Z625" s="532"/>
      <c r="AA625" s="532"/>
      <c r="AB625" s="532"/>
      <c r="AC625" s="532"/>
      <c r="AD625" s="532"/>
      <c r="AE625" s="532"/>
      <c r="AF625" s="532"/>
      <c r="AG625" s="532"/>
      <c r="AH625" s="532"/>
      <c r="AI625" s="532"/>
      <c r="AJ625" s="532"/>
    </row>
    <row r="626" spans="13:36" ht="12.95" customHeight="1" x14ac:dyDescent="0.2">
      <c r="M626" s="532"/>
      <c r="N626" s="532"/>
      <c r="O626" s="532"/>
      <c r="P626" s="90"/>
      <c r="Q626" s="532"/>
      <c r="R626" s="219"/>
      <c r="S626" s="532"/>
      <c r="T626" s="90"/>
      <c r="U626" s="532"/>
      <c r="V626" s="532"/>
      <c r="W626" s="532"/>
      <c r="X626" s="532"/>
      <c r="Y626" s="532"/>
      <c r="Z626" s="532"/>
      <c r="AA626" s="532"/>
      <c r="AB626" s="532"/>
      <c r="AC626" s="532"/>
      <c r="AD626" s="532"/>
      <c r="AE626" s="532"/>
      <c r="AF626" s="532"/>
      <c r="AG626" s="532"/>
      <c r="AH626" s="532"/>
      <c r="AI626" s="532"/>
      <c r="AJ626" s="532"/>
    </row>
    <row r="627" spans="13:36" ht="12.95" customHeight="1" x14ac:dyDescent="0.2">
      <c r="M627" s="532"/>
      <c r="N627" s="532"/>
      <c r="O627" s="532"/>
      <c r="P627" s="90"/>
      <c r="Q627" s="532"/>
      <c r="R627" s="219"/>
      <c r="S627" s="532"/>
      <c r="T627" s="90"/>
      <c r="U627" s="532"/>
      <c r="V627" s="532"/>
      <c r="W627" s="532"/>
      <c r="X627" s="532"/>
      <c r="Y627" s="532"/>
      <c r="Z627" s="532"/>
      <c r="AA627" s="532"/>
      <c r="AB627" s="532"/>
      <c r="AC627" s="532"/>
      <c r="AD627" s="532"/>
      <c r="AE627" s="532"/>
      <c r="AF627" s="532"/>
      <c r="AG627" s="532"/>
      <c r="AH627" s="532"/>
      <c r="AI627" s="532"/>
      <c r="AJ627" s="532"/>
    </row>
    <row r="628" spans="13:36" ht="12.95" customHeight="1" x14ac:dyDescent="0.2">
      <c r="M628" s="532"/>
      <c r="N628" s="532"/>
      <c r="O628" s="532"/>
      <c r="P628" s="90"/>
      <c r="Q628" s="532"/>
      <c r="R628" s="219"/>
      <c r="S628" s="532"/>
      <c r="T628" s="90"/>
      <c r="U628" s="532"/>
      <c r="V628" s="532"/>
      <c r="W628" s="532"/>
      <c r="X628" s="532"/>
      <c r="Y628" s="532"/>
      <c r="Z628" s="532"/>
      <c r="AA628" s="532"/>
      <c r="AB628" s="532"/>
      <c r="AC628" s="532"/>
      <c r="AD628" s="532"/>
      <c r="AE628" s="532"/>
      <c r="AF628" s="532"/>
      <c r="AG628" s="532"/>
      <c r="AH628" s="532"/>
      <c r="AI628" s="532"/>
      <c r="AJ628" s="532"/>
    </row>
    <row r="629" spans="13:36" ht="12.95" customHeight="1" x14ac:dyDescent="0.2">
      <c r="M629" s="532"/>
      <c r="N629" s="532"/>
      <c r="O629" s="532"/>
      <c r="P629" s="90"/>
      <c r="Q629" s="532"/>
      <c r="R629" s="219"/>
      <c r="S629" s="532"/>
      <c r="T629" s="90"/>
      <c r="U629" s="532"/>
      <c r="V629" s="532"/>
      <c r="W629" s="532"/>
      <c r="X629" s="532"/>
      <c r="Y629" s="532"/>
      <c r="Z629" s="532"/>
      <c r="AA629" s="532"/>
      <c r="AB629" s="532"/>
      <c r="AC629" s="532"/>
      <c r="AD629" s="532"/>
      <c r="AE629" s="532"/>
      <c r="AF629" s="532"/>
      <c r="AG629" s="532"/>
      <c r="AH629" s="532"/>
      <c r="AI629" s="532"/>
      <c r="AJ629" s="532"/>
    </row>
    <row r="630" spans="13:36" ht="12.95" customHeight="1" x14ac:dyDescent="0.2">
      <c r="M630" s="532"/>
      <c r="N630" s="532"/>
      <c r="O630" s="532"/>
      <c r="P630" s="90"/>
      <c r="Q630" s="532"/>
      <c r="R630" s="219"/>
      <c r="S630" s="532"/>
      <c r="T630" s="90"/>
      <c r="U630" s="532"/>
      <c r="V630" s="532"/>
      <c r="W630" s="532"/>
      <c r="X630" s="532"/>
      <c r="Y630" s="532"/>
      <c r="Z630" s="532"/>
      <c r="AA630" s="532"/>
      <c r="AB630" s="532"/>
      <c r="AC630" s="532"/>
      <c r="AD630" s="532"/>
      <c r="AE630" s="532"/>
      <c r="AF630" s="532"/>
      <c r="AG630" s="532"/>
      <c r="AH630" s="532"/>
      <c r="AI630" s="532"/>
      <c r="AJ630" s="532"/>
    </row>
    <row r="631" spans="13:36" ht="12.95" customHeight="1" x14ac:dyDescent="0.2">
      <c r="M631" s="532"/>
      <c r="N631" s="532"/>
      <c r="O631" s="532"/>
      <c r="P631" s="90"/>
      <c r="Q631" s="532"/>
      <c r="R631" s="219"/>
      <c r="S631" s="532"/>
      <c r="T631" s="90"/>
      <c r="U631" s="532"/>
      <c r="V631" s="532"/>
      <c r="W631" s="532"/>
      <c r="X631" s="532"/>
      <c r="Y631" s="532"/>
      <c r="Z631" s="532"/>
      <c r="AA631" s="532"/>
      <c r="AB631" s="532"/>
      <c r="AC631" s="532"/>
      <c r="AD631" s="532"/>
      <c r="AE631" s="532"/>
      <c r="AF631" s="532"/>
      <c r="AG631" s="532"/>
      <c r="AH631" s="532"/>
      <c r="AI631" s="532"/>
      <c r="AJ631" s="532"/>
    </row>
    <row r="632" spans="13:36" ht="12.95" customHeight="1" x14ac:dyDescent="0.2">
      <c r="M632" s="532"/>
      <c r="N632" s="532"/>
      <c r="O632" s="532"/>
      <c r="P632" s="90"/>
      <c r="Q632" s="532"/>
      <c r="R632" s="219"/>
      <c r="S632" s="532"/>
      <c r="T632" s="90"/>
      <c r="U632" s="532"/>
      <c r="V632" s="532"/>
      <c r="W632" s="532"/>
      <c r="X632" s="532"/>
      <c r="Y632" s="532"/>
      <c r="Z632" s="532"/>
      <c r="AA632" s="532"/>
      <c r="AB632" s="532"/>
      <c r="AC632" s="532"/>
      <c r="AD632" s="532"/>
      <c r="AE632" s="532"/>
      <c r="AF632" s="532"/>
      <c r="AG632" s="532"/>
      <c r="AH632" s="532"/>
      <c r="AI632" s="532"/>
      <c r="AJ632" s="532"/>
    </row>
    <row r="633" spans="13:36" ht="12.95" customHeight="1" x14ac:dyDescent="0.2">
      <c r="M633" s="532"/>
      <c r="N633" s="532"/>
      <c r="O633" s="532"/>
      <c r="P633" s="90"/>
      <c r="Q633" s="532"/>
      <c r="R633" s="219"/>
      <c r="S633" s="532"/>
      <c r="T633" s="90"/>
      <c r="U633" s="532"/>
      <c r="V633" s="532"/>
      <c r="W633" s="532"/>
      <c r="X633" s="532"/>
      <c r="Y633" s="532"/>
      <c r="Z633" s="532"/>
      <c r="AA633" s="532"/>
      <c r="AB633" s="532"/>
      <c r="AC633" s="532"/>
      <c r="AD633" s="532"/>
      <c r="AE633" s="532"/>
      <c r="AF633" s="532"/>
      <c r="AG633" s="532"/>
      <c r="AH633" s="532"/>
      <c r="AI633" s="532"/>
      <c r="AJ633" s="532"/>
    </row>
    <row r="634" spans="13:36" ht="12.95" customHeight="1" x14ac:dyDescent="0.2">
      <c r="M634" s="532"/>
      <c r="N634" s="532"/>
      <c r="O634" s="532"/>
      <c r="P634" s="90"/>
      <c r="Q634" s="532"/>
      <c r="R634" s="219"/>
      <c r="S634" s="532"/>
      <c r="T634" s="90"/>
      <c r="U634" s="532"/>
      <c r="V634" s="532"/>
      <c r="W634" s="532"/>
      <c r="X634" s="532"/>
      <c r="Y634" s="532"/>
      <c r="Z634" s="532"/>
      <c r="AA634" s="532"/>
      <c r="AB634" s="532"/>
      <c r="AC634" s="532"/>
      <c r="AD634" s="532"/>
      <c r="AE634" s="532"/>
      <c r="AF634" s="532"/>
      <c r="AG634" s="532"/>
      <c r="AH634" s="532"/>
      <c r="AI634" s="532"/>
      <c r="AJ634" s="532"/>
    </row>
    <row r="635" spans="13:36" ht="12.95" customHeight="1" x14ac:dyDescent="0.2">
      <c r="M635" s="532"/>
      <c r="N635" s="532"/>
      <c r="O635" s="532"/>
      <c r="P635" s="90"/>
      <c r="Q635" s="532"/>
      <c r="R635" s="219"/>
      <c r="S635" s="532"/>
      <c r="T635" s="90"/>
      <c r="U635" s="532"/>
      <c r="V635" s="532"/>
      <c r="W635" s="532"/>
      <c r="X635" s="532"/>
      <c r="Y635" s="532"/>
      <c r="Z635" s="532"/>
      <c r="AA635" s="532"/>
      <c r="AB635" s="532"/>
      <c r="AC635" s="532"/>
      <c r="AD635" s="532"/>
      <c r="AE635" s="532"/>
      <c r="AF635" s="532"/>
      <c r="AG635" s="532"/>
      <c r="AH635" s="532"/>
      <c r="AI635" s="532"/>
      <c r="AJ635" s="532"/>
    </row>
    <row r="636" spans="13:36" ht="12.95" customHeight="1" x14ac:dyDescent="0.2">
      <c r="M636" s="532"/>
      <c r="N636" s="532"/>
      <c r="O636" s="532"/>
      <c r="P636" s="90"/>
      <c r="Q636" s="532"/>
      <c r="R636" s="219"/>
      <c r="S636" s="532"/>
      <c r="T636" s="90"/>
      <c r="U636" s="532"/>
      <c r="V636" s="532"/>
      <c r="W636" s="532"/>
      <c r="X636" s="532"/>
      <c r="Y636" s="532"/>
      <c r="Z636" s="532"/>
      <c r="AA636" s="532"/>
      <c r="AB636" s="532"/>
      <c r="AC636" s="532"/>
      <c r="AD636" s="532"/>
      <c r="AE636" s="532"/>
      <c r="AF636" s="532"/>
      <c r="AG636" s="532"/>
      <c r="AH636" s="532"/>
      <c r="AI636" s="532"/>
      <c r="AJ636" s="532"/>
    </row>
    <row r="637" spans="13:36" ht="12.95" customHeight="1" x14ac:dyDescent="0.2">
      <c r="M637" s="532"/>
      <c r="N637" s="532"/>
      <c r="O637" s="532"/>
      <c r="P637" s="90"/>
      <c r="Q637" s="532"/>
      <c r="R637" s="219"/>
      <c r="S637" s="532"/>
      <c r="T637" s="90"/>
      <c r="U637" s="532"/>
      <c r="V637" s="532"/>
      <c r="W637" s="532"/>
      <c r="X637" s="532"/>
      <c r="Y637" s="532"/>
      <c r="Z637" s="532"/>
      <c r="AA637" s="532"/>
      <c r="AB637" s="532"/>
      <c r="AC637" s="532"/>
      <c r="AD637" s="532"/>
      <c r="AE637" s="532"/>
      <c r="AF637" s="532"/>
      <c r="AG637" s="532"/>
      <c r="AH637" s="532"/>
      <c r="AI637" s="532"/>
      <c r="AJ637" s="532"/>
    </row>
    <row r="638" spans="13:36" ht="12.95" customHeight="1" x14ac:dyDescent="0.2">
      <c r="M638" s="532"/>
      <c r="N638" s="532"/>
      <c r="O638" s="532"/>
      <c r="P638" s="90"/>
      <c r="Q638" s="532"/>
      <c r="R638" s="219"/>
      <c r="S638" s="532"/>
      <c r="T638" s="90"/>
      <c r="U638" s="532"/>
      <c r="V638" s="532"/>
      <c r="W638" s="532"/>
      <c r="X638" s="532"/>
      <c r="Y638" s="532"/>
      <c r="Z638" s="532"/>
      <c r="AA638" s="532"/>
      <c r="AB638" s="532"/>
      <c r="AC638" s="532"/>
      <c r="AD638" s="532"/>
      <c r="AE638" s="532"/>
      <c r="AF638" s="532"/>
      <c r="AG638" s="532"/>
      <c r="AH638" s="532"/>
      <c r="AI638" s="532"/>
      <c r="AJ638" s="532"/>
    </row>
    <row r="639" spans="13:36" ht="12.95" customHeight="1" x14ac:dyDescent="0.2">
      <c r="M639" s="532"/>
      <c r="N639" s="532"/>
      <c r="O639" s="532"/>
      <c r="P639" s="90"/>
      <c r="Q639" s="532"/>
      <c r="R639" s="219"/>
      <c r="S639" s="532"/>
      <c r="T639" s="90"/>
      <c r="U639" s="532"/>
      <c r="V639" s="532"/>
      <c r="W639" s="532"/>
      <c r="X639" s="532"/>
      <c r="Y639" s="532"/>
      <c r="Z639" s="532"/>
      <c r="AA639" s="532"/>
      <c r="AB639" s="532"/>
      <c r="AC639" s="532"/>
      <c r="AD639" s="532"/>
      <c r="AE639" s="532"/>
      <c r="AF639" s="532"/>
      <c r="AG639" s="532"/>
      <c r="AH639" s="532"/>
      <c r="AI639" s="532"/>
      <c r="AJ639" s="532"/>
    </row>
    <row r="640" spans="13:36" ht="12.95" customHeight="1" x14ac:dyDescent="0.2">
      <c r="M640" s="532"/>
      <c r="N640" s="532"/>
      <c r="O640" s="532"/>
      <c r="P640" s="90"/>
      <c r="Q640" s="532"/>
      <c r="R640" s="219"/>
      <c r="S640" s="532"/>
      <c r="T640" s="90"/>
      <c r="U640" s="532"/>
      <c r="V640" s="532"/>
      <c r="W640" s="532"/>
      <c r="X640" s="532"/>
      <c r="Y640" s="532"/>
      <c r="Z640" s="532"/>
      <c r="AA640" s="532"/>
      <c r="AB640" s="532"/>
      <c r="AC640" s="532"/>
      <c r="AD640" s="532"/>
      <c r="AE640" s="532"/>
      <c r="AF640" s="532"/>
      <c r="AG640" s="532"/>
      <c r="AH640" s="532"/>
      <c r="AI640" s="532"/>
      <c r="AJ640" s="532"/>
    </row>
    <row r="641" spans="13:36" ht="12.95" customHeight="1" x14ac:dyDescent="0.2">
      <c r="M641" s="532"/>
      <c r="N641" s="532"/>
      <c r="O641" s="532"/>
      <c r="P641" s="90"/>
      <c r="Q641" s="532"/>
      <c r="R641" s="219"/>
      <c r="S641" s="532"/>
      <c r="T641" s="90"/>
      <c r="U641" s="532"/>
      <c r="V641" s="532"/>
      <c r="W641" s="532"/>
      <c r="X641" s="532"/>
      <c r="Y641" s="532"/>
      <c r="Z641" s="532"/>
      <c r="AA641" s="532"/>
      <c r="AB641" s="532"/>
      <c r="AC641" s="532"/>
      <c r="AD641" s="532"/>
      <c r="AE641" s="532"/>
      <c r="AF641" s="532"/>
      <c r="AG641" s="532"/>
      <c r="AH641" s="532"/>
      <c r="AI641" s="532"/>
      <c r="AJ641" s="532"/>
    </row>
    <row r="642" spans="13:36" ht="12.95" customHeight="1" x14ac:dyDescent="0.2">
      <c r="M642" s="532"/>
      <c r="N642" s="532"/>
      <c r="O642" s="532"/>
      <c r="P642" s="90"/>
      <c r="Q642" s="532"/>
      <c r="R642" s="219"/>
      <c r="S642" s="532"/>
      <c r="T642" s="90"/>
      <c r="U642" s="532"/>
      <c r="V642" s="532"/>
      <c r="W642" s="532"/>
      <c r="X642" s="532"/>
      <c r="Y642" s="532"/>
      <c r="Z642" s="532"/>
      <c r="AA642" s="532"/>
      <c r="AB642" s="532"/>
      <c r="AC642" s="532"/>
      <c r="AD642" s="532"/>
      <c r="AE642" s="532"/>
      <c r="AF642" s="532"/>
      <c r="AG642" s="532"/>
      <c r="AH642" s="532"/>
      <c r="AI642" s="532"/>
      <c r="AJ642" s="532"/>
    </row>
    <row r="643" spans="13:36" ht="12.95" customHeight="1" x14ac:dyDescent="0.2">
      <c r="M643" s="532"/>
      <c r="N643" s="532"/>
      <c r="O643" s="532"/>
      <c r="P643" s="90"/>
      <c r="Q643" s="532"/>
      <c r="R643" s="219"/>
      <c r="S643" s="532"/>
      <c r="T643" s="90"/>
      <c r="U643" s="532"/>
      <c r="V643" s="532"/>
      <c r="W643" s="532"/>
      <c r="X643" s="532"/>
      <c r="Y643" s="532"/>
      <c r="Z643" s="532"/>
      <c r="AA643" s="532"/>
      <c r="AB643" s="532"/>
      <c r="AC643" s="532"/>
      <c r="AD643" s="532"/>
      <c r="AE643" s="532"/>
      <c r="AF643" s="532"/>
      <c r="AG643" s="532"/>
      <c r="AH643" s="532"/>
      <c r="AI643" s="532"/>
      <c r="AJ643" s="532"/>
    </row>
    <row r="644" spans="13:36" ht="12.95" customHeight="1" x14ac:dyDescent="0.2">
      <c r="M644" s="532"/>
      <c r="N644" s="532"/>
      <c r="O644" s="532"/>
      <c r="P644" s="90"/>
      <c r="Q644" s="532"/>
      <c r="R644" s="219"/>
      <c r="S644" s="532"/>
      <c r="T644" s="90"/>
      <c r="U644" s="532"/>
      <c r="V644" s="532"/>
      <c r="W644" s="532"/>
      <c r="X644" s="532"/>
      <c r="Y644" s="532"/>
      <c r="Z644" s="532"/>
      <c r="AA644" s="532"/>
      <c r="AB644" s="532"/>
      <c r="AC644" s="532"/>
      <c r="AD644" s="532"/>
      <c r="AE644" s="532"/>
      <c r="AF644" s="532"/>
      <c r="AG644" s="532"/>
      <c r="AH644" s="532"/>
      <c r="AI644" s="532"/>
      <c r="AJ644" s="532"/>
    </row>
    <row r="645" spans="13:36" ht="12.95" customHeight="1" x14ac:dyDescent="0.2">
      <c r="M645" s="532"/>
      <c r="N645" s="532"/>
      <c r="O645" s="532"/>
      <c r="P645" s="90"/>
      <c r="Q645" s="532"/>
      <c r="R645" s="219"/>
      <c r="S645" s="532"/>
      <c r="T645" s="90"/>
      <c r="U645" s="532"/>
      <c r="V645" s="532"/>
      <c r="W645" s="532"/>
      <c r="X645" s="532"/>
      <c r="Y645" s="532"/>
      <c r="Z645" s="532"/>
      <c r="AA645" s="532"/>
      <c r="AB645" s="532"/>
      <c r="AC645" s="532"/>
      <c r="AD645" s="532"/>
      <c r="AE645" s="532"/>
      <c r="AF645" s="532"/>
      <c r="AG645" s="532"/>
      <c r="AH645" s="532"/>
      <c r="AI645" s="532"/>
      <c r="AJ645" s="532"/>
    </row>
    <row r="646" spans="13:36" ht="12.95" customHeight="1" x14ac:dyDescent="0.2">
      <c r="M646" s="532"/>
      <c r="N646" s="532"/>
      <c r="O646" s="532"/>
      <c r="P646" s="90"/>
      <c r="Q646" s="532"/>
      <c r="R646" s="219"/>
      <c r="S646" s="532"/>
      <c r="T646" s="90"/>
      <c r="U646" s="532"/>
      <c r="V646" s="532"/>
      <c r="W646" s="532"/>
      <c r="X646" s="532"/>
      <c r="Y646" s="532"/>
      <c r="Z646" s="532"/>
      <c r="AA646" s="532"/>
      <c r="AB646" s="532"/>
      <c r="AC646" s="532"/>
      <c r="AD646" s="532"/>
      <c r="AE646" s="532"/>
      <c r="AF646" s="532"/>
      <c r="AG646" s="532"/>
      <c r="AH646" s="532"/>
      <c r="AI646" s="532"/>
      <c r="AJ646" s="532"/>
    </row>
    <row r="647" spans="13:36" ht="12.95" customHeight="1" x14ac:dyDescent="0.2">
      <c r="M647" s="532"/>
      <c r="N647" s="532"/>
      <c r="O647" s="532"/>
      <c r="P647" s="90"/>
      <c r="Q647" s="532"/>
      <c r="R647" s="219"/>
      <c r="S647" s="532"/>
      <c r="T647" s="90"/>
      <c r="U647" s="532"/>
      <c r="V647" s="532"/>
      <c r="W647" s="532"/>
      <c r="X647" s="532"/>
      <c r="Y647" s="532"/>
      <c r="Z647" s="532"/>
      <c r="AA647" s="532"/>
      <c r="AB647" s="532"/>
      <c r="AC647" s="532"/>
      <c r="AD647" s="532"/>
      <c r="AE647" s="532"/>
      <c r="AF647" s="532"/>
      <c r="AG647" s="532"/>
      <c r="AH647" s="532"/>
      <c r="AI647" s="532"/>
      <c r="AJ647" s="532"/>
    </row>
    <row r="648" spans="13:36" ht="12.95" customHeight="1" x14ac:dyDescent="0.2">
      <c r="M648" s="532"/>
      <c r="N648" s="532"/>
      <c r="O648" s="532"/>
      <c r="P648" s="90"/>
      <c r="Q648" s="532"/>
      <c r="R648" s="219"/>
      <c r="S648" s="532"/>
      <c r="T648" s="90"/>
      <c r="U648" s="532"/>
      <c r="V648" s="532"/>
      <c r="W648" s="532"/>
      <c r="X648" s="532"/>
      <c r="Y648" s="532"/>
      <c r="Z648" s="532"/>
      <c r="AA648" s="532"/>
      <c r="AB648" s="532"/>
      <c r="AC648" s="532"/>
      <c r="AD648" s="532"/>
      <c r="AE648" s="532"/>
      <c r="AF648" s="532"/>
      <c r="AG648" s="532"/>
      <c r="AH648" s="532"/>
      <c r="AI648" s="532"/>
      <c r="AJ648" s="532"/>
    </row>
    <row r="649" spans="13:36" ht="12.95" customHeight="1" x14ac:dyDescent="0.2">
      <c r="M649" s="532"/>
      <c r="N649" s="532"/>
      <c r="O649" s="532"/>
      <c r="P649" s="90"/>
      <c r="Q649" s="532"/>
      <c r="R649" s="219"/>
      <c r="S649" s="532"/>
      <c r="T649" s="90"/>
      <c r="U649" s="532"/>
      <c r="V649" s="532"/>
      <c r="W649" s="532"/>
      <c r="X649" s="532"/>
      <c r="Y649" s="532"/>
      <c r="Z649" s="532"/>
      <c r="AA649" s="532"/>
      <c r="AB649" s="532"/>
      <c r="AC649" s="532"/>
      <c r="AD649" s="532"/>
      <c r="AE649" s="532"/>
      <c r="AF649" s="532"/>
      <c r="AG649" s="532"/>
      <c r="AH649" s="532"/>
      <c r="AI649" s="532"/>
      <c r="AJ649" s="532"/>
    </row>
    <row r="650" spans="13:36" ht="12.95" customHeight="1" x14ac:dyDescent="0.2">
      <c r="M650" s="532"/>
      <c r="N650" s="532"/>
      <c r="O650" s="532"/>
      <c r="P650" s="90"/>
      <c r="Q650" s="532"/>
      <c r="R650" s="219"/>
      <c r="S650" s="532"/>
      <c r="T650" s="90"/>
      <c r="U650" s="532"/>
      <c r="V650" s="532"/>
      <c r="W650" s="532"/>
      <c r="X650" s="532"/>
      <c r="Y650" s="532"/>
      <c r="Z650" s="532"/>
      <c r="AA650" s="532"/>
      <c r="AB650" s="532"/>
      <c r="AC650" s="532"/>
      <c r="AD650" s="532"/>
      <c r="AE650" s="532"/>
      <c r="AF650" s="532"/>
      <c r="AG650" s="532"/>
      <c r="AH650" s="532"/>
      <c r="AI650" s="532"/>
      <c r="AJ650" s="532"/>
    </row>
    <row r="651" spans="13:36" ht="12.95" customHeight="1" x14ac:dyDescent="0.2">
      <c r="M651" s="532"/>
      <c r="N651" s="532"/>
      <c r="O651" s="532"/>
      <c r="P651" s="90"/>
      <c r="Q651" s="532"/>
      <c r="R651" s="219"/>
      <c r="S651" s="532"/>
      <c r="T651" s="90"/>
      <c r="U651" s="532"/>
      <c r="V651" s="532"/>
      <c r="W651" s="532"/>
      <c r="X651" s="532"/>
      <c r="Y651" s="532"/>
      <c r="Z651" s="532"/>
      <c r="AA651" s="532"/>
      <c r="AB651" s="532"/>
      <c r="AC651" s="532"/>
      <c r="AD651" s="532"/>
      <c r="AE651" s="532"/>
      <c r="AF651" s="532"/>
      <c r="AG651" s="532"/>
      <c r="AH651" s="532"/>
      <c r="AI651" s="532"/>
      <c r="AJ651" s="532"/>
    </row>
    <row r="652" spans="13:36" ht="12.95" customHeight="1" x14ac:dyDescent="0.2">
      <c r="M652" s="532"/>
      <c r="N652" s="532"/>
      <c r="O652" s="532"/>
      <c r="P652" s="90"/>
      <c r="Q652" s="532"/>
      <c r="R652" s="219"/>
      <c r="S652" s="532"/>
      <c r="T652" s="90"/>
      <c r="U652" s="532"/>
      <c r="V652" s="532"/>
      <c r="W652" s="532"/>
      <c r="X652" s="532"/>
      <c r="Y652" s="532"/>
      <c r="Z652" s="532"/>
      <c r="AA652" s="532"/>
      <c r="AB652" s="532"/>
      <c r="AC652" s="532"/>
      <c r="AD652" s="532"/>
      <c r="AE652" s="532"/>
      <c r="AF652" s="532"/>
      <c r="AG652" s="532"/>
      <c r="AH652" s="532"/>
      <c r="AI652" s="532"/>
      <c r="AJ652" s="532"/>
    </row>
    <row r="653" spans="13:36" ht="12.95" customHeight="1" x14ac:dyDescent="0.2">
      <c r="M653" s="532"/>
      <c r="N653" s="532"/>
      <c r="O653" s="532"/>
      <c r="P653" s="90"/>
      <c r="Q653" s="532"/>
      <c r="R653" s="219"/>
      <c r="S653" s="532"/>
      <c r="T653" s="90"/>
      <c r="U653" s="532"/>
      <c r="V653" s="532"/>
      <c r="W653" s="532"/>
      <c r="X653" s="532"/>
      <c r="Y653" s="532"/>
      <c r="Z653" s="532"/>
      <c r="AA653" s="532"/>
      <c r="AB653" s="532"/>
      <c r="AC653" s="532"/>
      <c r="AD653" s="532"/>
      <c r="AE653" s="532"/>
      <c r="AF653" s="532"/>
      <c r="AG653" s="532"/>
      <c r="AH653" s="532"/>
      <c r="AI653" s="532"/>
      <c r="AJ653" s="532"/>
    </row>
    <row r="654" spans="13:36" ht="12.95" customHeight="1" x14ac:dyDescent="0.2">
      <c r="M654" s="532"/>
      <c r="N654" s="532"/>
      <c r="O654" s="532"/>
      <c r="P654" s="90"/>
      <c r="Q654" s="532"/>
      <c r="R654" s="219"/>
      <c r="S654" s="532"/>
      <c r="T654" s="90"/>
      <c r="U654" s="532"/>
      <c r="V654" s="532"/>
      <c r="W654" s="532"/>
      <c r="X654" s="532"/>
      <c r="Y654" s="532"/>
      <c r="Z654" s="532"/>
      <c r="AA654" s="532"/>
      <c r="AB654" s="532"/>
      <c r="AC654" s="532"/>
      <c r="AD654" s="532"/>
      <c r="AE654" s="532"/>
      <c r="AF654" s="532"/>
      <c r="AG654" s="532"/>
      <c r="AH654" s="532"/>
      <c r="AI654" s="532"/>
      <c r="AJ654" s="532"/>
    </row>
    <row r="655" spans="13:36" ht="12.95" customHeight="1" x14ac:dyDescent="0.2">
      <c r="M655" s="532"/>
      <c r="N655" s="532"/>
      <c r="O655" s="532"/>
      <c r="P655" s="90"/>
      <c r="Q655" s="532"/>
      <c r="R655" s="219"/>
      <c r="S655" s="532"/>
      <c r="T655" s="90"/>
      <c r="U655" s="532"/>
      <c r="V655" s="532"/>
      <c r="W655" s="532"/>
      <c r="X655" s="532"/>
      <c r="Y655" s="532"/>
      <c r="Z655" s="532"/>
      <c r="AA655" s="532"/>
      <c r="AB655" s="532"/>
      <c r="AC655" s="532"/>
      <c r="AD655" s="532"/>
      <c r="AE655" s="532"/>
      <c r="AF655" s="532"/>
      <c r="AG655" s="532"/>
      <c r="AH655" s="532"/>
      <c r="AI655" s="532"/>
      <c r="AJ655" s="532"/>
    </row>
    <row r="656" spans="13:36" ht="12.95" customHeight="1" x14ac:dyDescent="0.2">
      <c r="M656" s="532"/>
      <c r="N656" s="532"/>
      <c r="O656" s="532"/>
      <c r="P656" s="90"/>
      <c r="Q656" s="532"/>
      <c r="R656" s="219"/>
      <c r="S656" s="532"/>
      <c r="T656" s="90"/>
      <c r="U656" s="532"/>
      <c r="V656" s="532"/>
      <c r="W656" s="532"/>
      <c r="X656" s="532"/>
      <c r="Y656" s="532"/>
      <c r="Z656" s="532"/>
      <c r="AA656" s="532"/>
      <c r="AB656" s="532"/>
      <c r="AC656" s="532"/>
      <c r="AD656" s="532"/>
      <c r="AE656" s="532"/>
      <c r="AF656" s="532"/>
      <c r="AG656" s="532"/>
      <c r="AH656" s="532"/>
      <c r="AI656" s="532"/>
      <c r="AJ656" s="532"/>
    </row>
    <row r="657" spans="13:36" ht="12.95" customHeight="1" x14ac:dyDescent="0.2">
      <c r="M657" s="532"/>
      <c r="N657" s="532"/>
      <c r="O657" s="532"/>
      <c r="P657" s="90"/>
      <c r="Q657" s="532"/>
      <c r="R657" s="219"/>
      <c r="S657" s="532"/>
      <c r="T657" s="90"/>
      <c r="U657" s="532"/>
      <c r="V657" s="532"/>
      <c r="W657" s="532"/>
      <c r="X657" s="532"/>
      <c r="Y657" s="532"/>
      <c r="Z657" s="532"/>
      <c r="AA657" s="532"/>
      <c r="AB657" s="532"/>
      <c r="AC657" s="532"/>
      <c r="AD657" s="532"/>
      <c r="AE657" s="532"/>
      <c r="AF657" s="532"/>
      <c r="AG657" s="532"/>
      <c r="AH657" s="532"/>
      <c r="AI657" s="532"/>
      <c r="AJ657" s="532"/>
    </row>
    <row r="658" spans="13:36" ht="12.95" customHeight="1" x14ac:dyDescent="0.2">
      <c r="M658" s="532"/>
      <c r="N658" s="532"/>
      <c r="O658" s="532"/>
      <c r="P658" s="90"/>
      <c r="Q658" s="532"/>
      <c r="R658" s="219"/>
      <c r="S658" s="532"/>
      <c r="T658" s="90"/>
      <c r="U658" s="532"/>
      <c r="V658" s="532"/>
      <c r="W658" s="532"/>
      <c r="X658" s="532"/>
      <c r="Y658" s="532"/>
      <c r="Z658" s="532"/>
      <c r="AA658" s="532"/>
      <c r="AB658" s="532"/>
      <c r="AC658" s="532"/>
      <c r="AD658" s="532"/>
      <c r="AE658" s="532"/>
      <c r="AF658" s="532"/>
      <c r="AG658" s="532"/>
      <c r="AH658" s="532"/>
      <c r="AI658" s="532"/>
      <c r="AJ658" s="532"/>
    </row>
    <row r="659" spans="13:36" ht="12.95" customHeight="1" x14ac:dyDescent="0.2">
      <c r="M659" s="532"/>
      <c r="N659" s="532"/>
      <c r="O659" s="532"/>
      <c r="P659" s="90"/>
      <c r="Q659" s="532"/>
      <c r="R659" s="219"/>
      <c r="S659" s="532"/>
      <c r="T659" s="90"/>
      <c r="U659" s="532"/>
      <c r="V659" s="532"/>
      <c r="W659" s="532"/>
      <c r="X659" s="532"/>
      <c r="Y659" s="532"/>
      <c r="Z659" s="532"/>
      <c r="AA659" s="532"/>
      <c r="AB659" s="532"/>
      <c r="AC659" s="532"/>
      <c r="AD659" s="532"/>
      <c r="AE659" s="532"/>
      <c r="AF659" s="532"/>
      <c r="AG659" s="532"/>
      <c r="AH659" s="532"/>
      <c r="AI659" s="532"/>
      <c r="AJ659" s="532"/>
    </row>
    <row r="660" spans="13:36" ht="12.95" customHeight="1" x14ac:dyDescent="0.2">
      <c r="M660" s="532"/>
      <c r="N660" s="532"/>
      <c r="O660" s="532"/>
      <c r="P660" s="90"/>
      <c r="Q660" s="532"/>
      <c r="R660" s="219"/>
      <c r="S660" s="532"/>
      <c r="T660" s="90"/>
      <c r="U660" s="532"/>
      <c r="V660" s="532"/>
      <c r="W660" s="532"/>
      <c r="X660" s="532"/>
      <c r="Y660" s="532"/>
      <c r="Z660" s="532"/>
      <c r="AA660" s="532"/>
      <c r="AB660" s="532"/>
      <c r="AC660" s="532"/>
      <c r="AD660" s="532"/>
      <c r="AE660" s="532"/>
      <c r="AF660" s="532"/>
      <c r="AG660" s="532"/>
      <c r="AH660" s="532"/>
      <c r="AI660" s="532"/>
      <c r="AJ660" s="532"/>
    </row>
    <row r="661" spans="13:36" ht="12.95" customHeight="1" x14ac:dyDescent="0.2">
      <c r="M661" s="532"/>
      <c r="N661" s="532"/>
      <c r="O661" s="532"/>
      <c r="P661" s="90"/>
      <c r="Q661" s="532"/>
      <c r="R661" s="219"/>
      <c r="S661" s="532"/>
      <c r="T661" s="90"/>
      <c r="U661" s="532"/>
      <c r="V661" s="532"/>
      <c r="W661" s="532"/>
      <c r="X661" s="532"/>
      <c r="Y661" s="532"/>
      <c r="Z661" s="532"/>
      <c r="AA661" s="532"/>
      <c r="AB661" s="532"/>
      <c r="AC661" s="532"/>
      <c r="AD661" s="532"/>
      <c r="AE661" s="532"/>
      <c r="AF661" s="532"/>
      <c r="AG661" s="532"/>
      <c r="AH661" s="532"/>
      <c r="AI661" s="532"/>
      <c r="AJ661" s="532"/>
    </row>
    <row r="662" spans="13:36" ht="12.95" customHeight="1" x14ac:dyDescent="0.2">
      <c r="M662" s="532"/>
      <c r="N662" s="532"/>
      <c r="O662" s="532"/>
      <c r="P662" s="90"/>
      <c r="Q662" s="532"/>
      <c r="R662" s="219"/>
      <c r="S662" s="532"/>
      <c r="T662" s="90"/>
      <c r="U662" s="532"/>
      <c r="V662" s="532"/>
      <c r="W662" s="532"/>
      <c r="X662" s="532"/>
      <c r="Y662" s="532"/>
      <c r="Z662" s="532"/>
      <c r="AA662" s="532"/>
      <c r="AB662" s="532"/>
      <c r="AC662" s="532"/>
      <c r="AD662" s="532"/>
      <c r="AE662" s="532"/>
      <c r="AF662" s="532"/>
      <c r="AG662" s="532"/>
      <c r="AH662" s="532"/>
      <c r="AI662" s="532"/>
      <c r="AJ662" s="532"/>
    </row>
    <row r="663" spans="13:36" ht="12.95" customHeight="1" x14ac:dyDescent="0.2">
      <c r="M663" s="532"/>
      <c r="N663" s="532"/>
      <c r="O663" s="532"/>
      <c r="P663" s="90"/>
      <c r="Q663" s="532"/>
      <c r="R663" s="219"/>
      <c r="S663" s="532"/>
      <c r="T663" s="90"/>
      <c r="U663" s="532"/>
      <c r="V663" s="532"/>
      <c r="W663" s="532"/>
      <c r="X663" s="532"/>
      <c r="Y663" s="532"/>
      <c r="Z663" s="532"/>
      <c r="AA663" s="532"/>
      <c r="AB663" s="532"/>
      <c r="AC663" s="532"/>
      <c r="AD663" s="532"/>
      <c r="AE663" s="532"/>
      <c r="AF663" s="532"/>
      <c r="AG663" s="532"/>
      <c r="AH663" s="532"/>
      <c r="AI663" s="532"/>
      <c r="AJ663" s="532"/>
    </row>
    <row r="664" spans="13:36" ht="12.95" customHeight="1" x14ac:dyDescent="0.2">
      <c r="M664" s="532"/>
      <c r="N664" s="532"/>
      <c r="O664" s="532"/>
      <c r="P664" s="90"/>
      <c r="Q664" s="532"/>
      <c r="R664" s="219"/>
      <c r="S664" s="532"/>
      <c r="T664" s="90"/>
      <c r="U664" s="532"/>
      <c r="V664" s="532"/>
      <c r="W664" s="532"/>
      <c r="X664" s="532"/>
      <c r="Y664" s="532"/>
      <c r="Z664" s="532"/>
      <c r="AA664" s="532"/>
      <c r="AB664" s="532"/>
      <c r="AC664" s="532"/>
      <c r="AD664" s="532"/>
      <c r="AE664" s="532"/>
      <c r="AF664" s="532"/>
      <c r="AG664" s="532"/>
      <c r="AH664" s="532"/>
      <c r="AI664" s="532"/>
      <c r="AJ664" s="532"/>
    </row>
    <row r="665" spans="13:36" ht="12.95" customHeight="1" x14ac:dyDescent="0.2">
      <c r="M665" s="532"/>
      <c r="N665" s="532"/>
      <c r="O665" s="532"/>
      <c r="P665" s="90"/>
      <c r="Q665" s="532"/>
      <c r="R665" s="219"/>
      <c r="S665" s="532"/>
      <c r="T665" s="90"/>
      <c r="U665" s="532"/>
      <c r="V665" s="532"/>
      <c r="W665" s="532"/>
      <c r="X665" s="532"/>
      <c r="Y665" s="532"/>
      <c r="Z665" s="532"/>
      <c r="AA665" s="532"/>
      <c r="AB665" s="532"/>
      <c r="AC665" s="532"/>
      <c r="AD665" s="532"/>
      <c r="AE665" s="532"/>
      <c r="AF665" s="532"/>
      <c r="AG665" s="532"/>
      <c r="AH665" s="532"/>
      <c r="AI665" s="532"/>
      <c r="AJ665" s="532"/>
    </row>
    <row r="666" spans="13:36" ht="12.95" customHeight="1" x14ac:dyDescent="0.2">
      <c r="M666" s="532"/>
      <c r="N666" s="532"/>
      <c r="O666" s="532"/>
      <c r="P666" s="90"/>
      <c r="Q666" s="532"/>
      <c r="R666" s="219"/>
      <c r="S666" s="532"/>
      <c r="T666" s="90"/>
      <c r="U666" s="532"/>
      <c r="V666" s="532"/>
      <c r="W666" s="532"/>
      <c r="X666" s="532"/>
      <c r="Y666" s="532"/>
      <c r="Z666" s="532"/>
      <c r="AA666" s="532"/>
      <c r="AB666" s="532"/>
      <c r="AC666" s="532"/>
      <c r="AD666" s="532"/>
      <c r="AE666" s="532"/>
      <c r="AF666" s="532"/>
      <c r="AG666" s="532"/>
      <c r="AH666" s="532"/>
      <c r="AI666" s="532"/>
      <c r="AJ666" s="532"/>
    </row>
    <row r="667" spans="13:36" ht="12.95" customHeight="1" x14ac:dyDescent="0.2">
      <c r="M667" s="532"/>
      <c r="N667" s="532"/>
      <c r="O667" s="532"/>
      <c r="P667" s="90"/>
      <c r="Q667" s="532"/>
      <c r="R667" s="219"/>
      <c r="S667" s="532"/>
      <c r="T667" s="90"/>
      <c r="U667" s="532"/>
      <c r="V667" s="532"/>
      <c r="W667" s="532"/>
      <c r="X667" s="532"/>
      <c r="Y667" s="532"/>
      <c r="Z667" s="532"/>
      <c r="AA667" s="532"/>
      <c r="AB667" s="532"/>
      <c r="AC667" s="532"/>
      <c r="AD667" s="532"/>
      <c r="AE667" s="532"/>
      <c r="AF667" s="532"/>
      <c r="AG667" s="532"/>
      <c r="AH667" s="532"/>
      <c r="AI667" s="532"/>
      <c r="AJ667" s="532"/>
    </row>
    <row r="668" spans="13:36" ht="12.95" customHeight="1" x14ac:dyDescent="0.2">
      <c r="M668" s="532"/>
      <c r="N668" s="532"/>
      <c r="O668" s="532"/>
      <c r="P668" s="90"/>
      <c r="Q668" s="532"/>
      <c r="R668" s="219"/>
      <c r="S668" s="532"/>
      <c r="T668" s="90"/>
      <c r="U668" s="532"/>
      <c r="V668" s="532"/>
      <c r="W668" s="532"/>
      <c r="X668" s="532"/>
      <c r="Y668" s="532"/>
      <c r="Z668" s="532"/>
      <c r="AA668" s="532"/>
      <c r="AB668" s="532"/>
      <c r="AC668" s="532"/>
      <c r="AD668" s="532"/>
      <c r="AE668" s="532"/>
      <c r="AF668" s="532"/>
      <c r="AG668" s="532"/>
      <c r="AH668" s="532"/>
      <c r="AI668" s="532"/>
      <c r="AJ668" s="532"/>
    </row>
    <row r="669" spans="13:36" ht="12.95" customHeight="1" x14ac:dyDescent="0.2">
      <c r="M669" s="532"/>
      <c r="N669" s="532"/>
      <c r="O669" s="532"/>
      <c r="P669" s="90"/>
      <c r="Q669" s="532"/>
      <c r="R669" s="219"/>
      <c r="S669" s="532"/>
      <c r="T669" s="90"/>
      <c r="U669" s="532"/>
      <c r="V669" s="532"/>
      <c r="W669" s="532"/>
      <c r="X669" s="532"/>
      <c r="Y669" s="532"/>
      <c r="Z669" s="532"/>
      <c r="AA669" s="532"/>
      <c r="AB669" s="532"/>
      <c r="AC669" s="532"/>
      <c r="AD669" s="532"/>
      <c r="AE669" s="532"/>
      <c r="AF669" s="532"/>
      <c r="AG669" s="532"/>
      <c r="AH669" s="532"/>
      <c r="AI669" s="532"/>
      <c r="AJ669" s="532"/>
    </row>
    <row r="670" spans="13:36" ht="12.95" customHeight="1" x14ac:dyDescent="0.2">
      <c r="M670" s="532"/>
      <c r="N670" s="532"/>
      <c r="O670" s="532"/>
      <c r="P670" s="90"/>
      <c r="Q670" s="532"/>
      <c r="R670" s="219"/>
      <c r="S670" s="532"/>
      <c r="T670" s="90"/>
      <c r="U670" s="532"/>
      <c r="V670" s="532"/>
      <c r="W670" s="532"/>
      <c r="X670" s="532"/>
      <c r="Y670" s="532"/>
      <c r="Z670" s="532"/>
      <c r="AA670" s="532"/>
      <c r="AB670" s="532"/>
      <c r="AC670" s="532"/>
      <c r="AD670" s="532"/>
      <c r="AE670" s="532"/>
      <c r="AF670" s="532"/>
      <c r="AG670" s="532"/>
      <c r="AH670" s="532"/>
      <c r="AI670" s="532"/>
      <c r="AJ670" s="532"/>
    </row>
    <row r="671" spans="13:36" ht="12.95" customHeight="1" x14ac:dyDescent="0.2">
      <c r="M671" s="532"/>
      <c r="N671" s="532"/>
      <c r="O671" s="532"/>
      <c r="P671" s="90"/>
      <c r="Q671" s="532"/>
      <c r="R671" s="219"/>
      <c r="S671" s="532"/>
      <c r="T671" s="90"/>
      <c r="U671" s="532"/>
      <c r="V671" s="532"/>
      <c r="W671" s="532"/>
      <c r="X671" s="532"/>
      <c r="Y671" s="532"/>
      <c r="Z671" s="532"/>
      <c r="AA671" s="532"/>
      <c r="AB671" s="532"/>
      <c r="AC671" s="532"/>
      <c r="AD671" s="532"/>
      <c r="AE671" s="532"/>
      <c r="AF671" s="532"/>
      <c r="AG671" s="532"/>
      <c r="AH671" s="532"/>
      <c r="AI671" s="532"/>
      <c r="AJ671" s="532"/>
    </row>
    <row r="672" spans="13:36" ht="12.95" customHeight="1" x14ac:dyDescent="0.2">
      <c r="M672" s="532"/>
      <c r="N672" s="532"/>
      <c r="O672" s="532"/>
      <c r="P672" s="90"/>
      <c r="Q672" s="532"/>
      <c r="R672" s="219"/>
      <c r="S672" s="532"/>
      <c r="T672" s="90"/>
      <c r="U672" s="532"/>
      <c r="V672" s="532"/>
      <c r="W672" s="532"/>
      <c r="X672" s="532"/>
      <c r="Y672" s="532"/>
      <c r="Z672" s="532"/>
      <c r="AA672" s="532"/>
      <c r="AB672" s="532"/>
      <c r="AC672" s="532"/>
      <c r="AD672" s="532"/>
      <c r="AE672" s="532"/>
      <c r="AF672" s="532"/>
      <c r="AG672" s="532"/>
      <c r="AH672" s="532"/>
      <c r="AI672" s="532"/>
      <c r="AJ672" s="532"/>
    </row>
    <row r="673" spans="13:36" ht="12.95" customHeight="1" x14ac:dyDescent="0.2">
      <c r="M673" s="532"/>
      <c r="N673" s="532"/>
      <c r="O673" s="532"/>
      <c r="P673" s="90"/>
      <c r="Q673" s="532"/>
      <c r="R673" s="219"/>
      <c r="S673" s="532"/>
      <c r="T673" s="90"/>
      <c r="U673" s="532"/>
      <c r="V673" s="532"/>
      <c r="W673" s="532"/>
      <c r="X673" s="532"/>
      <c r="Y673" s="532"/>
      <c r="Z673" s="532"/>
      <c r="AA673" s="532"/>
      <c r="AB673" s="532"/>
      <c r="AC673" s="532"/>
      <c r="AD673" s="532"/>
      <c r="AE673" s="532"/>
      <c r="AF673" s="532"/>
      <c r="AG673" s="532"/>
      <c r="AH673" s="532"/>
      <c r="AI673" s="532"/>
      <c r="AJ673" s="532"/>
    </row>
    <row r="674" spans="13:36" ht="12.95" customHeight="1" x14ac:dyDescent="0.2">
      <c r="M674" s="532"/>
      <c r="N674" s="532"/>
      <c r="O674" s="532"/>
      <c r="P674" s="90"/>
      <c r="Q674" s="532"/>
      <c r="R674" s="219"/>
      <c r="S674" s="532"/>
      <c r="T674" s="90"/>
      <c r="U674" s="532"/>
      <c r="V674" s="532"/>
      <c r="W674" s="532"/>
      <c r="X674" s="532"/>
      <c r="Y674" s="532"/>
      <c r="Z674" s="532"/>
      <c r="AA674" s="532"/>
      <c r="AB674" s="532"/>
      <c r="AC674" s="532"/>
      <c r="AD674" s="532"/>
      <c r="AE674" s="532"/>
      <c r="AF674" s="532"/>
      <c r="AG674" s="532"/>
      <c r="AH674" s="532"/>
      <c r="AI674" s="532"/>
      <c r="AJ674" s="532"/>
    </row>
    <row r="675" spans="13:36" ht="12.95" customHeight="1" x14ac:dyDescent="0.2">
      <c r="M675" s="532"/>
      <c r="N675" s="532"/>
      <c r="O675" s="532"/>
      <c r="P675" s="90"/>
      <c r="Q675" s="532"/>
      <c r="R675" s="219"/>
      <c r="S675" s="532"/>
      <c r="T675" s="90"/>
      <c r="U675" s="532"/>
      <c r="V675" s="532"/>
      <c r="W675" s="532"/>
      <c r="X675" s="532"/>
      <c r="Y675" s="532"/>
      <c r="Z675" s="532"/>
      <c r="AA675" s="532"/>
      <c r="AB675" s="532"/>
      <c r="AC675" s="532"/>
      <c r="AD675" s="532"/>
      <c r="AE675" s="532"/>
      <c r="AF675" s="532"/>
      <c r="AG675" s="532"/>
      <c r="AH675" s="532"/>
      <c r="AI675" s="532"/>
      <c r="AJ675" s="532"/>
    </row>
    <row r="676" spans="13:36" ht="12.95" customHeight="1" x14ac:dyDescent="0.2">
      <c r="M676" s="532"/>
      <c r="N676" s="532"/>
      <c r="O676" s="532"/>
      <c r="P676" s="90"/>
      <c r="Q676" s="532"/>
      <c r="R676" s="219"/>
      <c r="S676" s="532"/>
      <c r="T676" s="90"/>
      <c r="U676" s="532"/>
      <c r="V676" s="532"/>
      <c r="W676" s="532"/>
      <c r="X676" s="532"/>
      <c r="Y676" s="532"/>
      <c r="Z676" s="532"/>
      <c r="AA676" s="532"/>
      <c r="AB676" s="532"/>
      <c r="AC676" s="532"/>
      <c r="AD676" s="532"/>
      <c r="AE676" s="532"/>
      <c r="AF676" s="532"/>
      <c r="AG676" s="532"/>
      <c r="AH676" s="532"/>
      <c r="AI676" s="532"/>
      <c r="AJ676" s="532"/>
    </row>
    <row r="677" spans="13:36" ht="12.95" customHeight="1" x14ac:dyDescent="0.2">
      <c r="M677" s="532"/>
      <c r="N677" s="532"/>
      <c r="O677" s="532"/>
      <c r="P677" s="90"/>
      <c r="Q677" s="532"/>
      <c r="R677" s="219"/>
      <c r="S677" s="532"/>
      <c r="T677" s="90"/>
      <c r="U677" s="532"/>
      <c r="V677" s="532"/>
      <c r="W677" s="532"/>
      <c r="X677" s="532"/>
      <c r="Y677" s="532"/>
      <c r="Z677" s="532"/>
      <c r="AA677" s="532"/>
      <c r="AB677" s="532"/>
      <c r="AC677" s="532"/>
      <c r="AD677" s="532"/>
      <c r="AE677" s="532"/>
      <c r="AF677" s="532"/>
      <c r="AG677" s="532"/>
      <c r="AH677" s="532"/>
      <c r="AI677" s="532"/>
      <c r="AJ677" s="532"/>
    </row>
    <row r="678" spans="13:36" ht="12.95" customHeight="1" x14ac:dyDescent="0.2">
      <c r="M678" s="532"/>
      <c r="N678" s="532"/>
      <c r="O678" s="532"/>
      <c r="P678" s="90"/>
      <c r="Q678" s="532"/>
      <c r="R678" s="219"/>
      <c r="S678" s="532"/>
      <c r="T678" s="90"/>
      <c r="U678" s="532"/>
      <c r="V678" s="532"/>
      <c r="W678" s="532"/>
      <c r="X678" s="532"/>
      <c r="Y678" s="532"/>
      <c r="Z678" s="532"/>
      <c r="AA678" s="532"/>
      <c r="AB678" s="532"/>
      <c r="AC678" s="532"/>
      <c r="AD678" s="532"/>
      <c r="AE678" s="532"/>
      <c r="AF678" s="532"/>
      <c r="AG678" s="532"/>
      <c r="AH678" s="532"/>
      <c r="AI678" s="532"/>
      <c r="AJ678" s="532"/>
    </row>
    <row r="679" spans="13:36" ht="12.95" customHeight="1" x14ac:dyDescent="0.2">
      <c r="M679" s="532"/>
      <c r="N679" s="532"/>
      <c r="O679" s="532"/>
      <c r="P679" s="90"/>
      <c r="Q679" s="532"/>
      <c r="R679" s="219"/>
      <c r="S679" s="532"/>
      <c r="T679" s="90"/>
      <c r="U679" s="532"/>
      <c r="V679" s="532"/>
      <c r="W679" s="532"/>
      <c r="X679" s="532"/>
      <c r="Y679" s="532"/>
      <c r="Z679" s="532"/>
      <c r="AA679" s="532"/>
      <c r="AB679" s="532"/>
      <c r="AC679" s="532"/>
      <c r="AD679" s="532"/>
      <c r="AE679" s="532"/>
      <c r="AF679" s="532"/>
      <c r="AG679" s="532"/>
      <c r="AH679" s="532"/>
      <c r="AI679" s="532"/>
      <c r="AJ679" s="532"/>
    </row>
    <row r="680" spans="13:36" ht="12.95" customHeight="1" x14ac:dyDescent="0.2">
      <c r="M680" s="532"/>
      <c r="N680" s="532"/>
      <c r="O680" s="532"/>
      <c r="P680" s="90"/>
      <c r="Q680" s="532"/>
      <c r="R680" s="219"/>
      <c r="S680" s="532"/>
      <c r="T680" s="90"/>
      <c r="U680" s="532"/>
      <c r="V680" s="532"/>
      <c r="W680" s="532"/>
      <c r="X680" s="532"/>
      <c r="Y680" s="532"/>
      <c r="Z680" s="532"/>
      <c r="AA680" s="532"/>
      <c r="AB680" s="532"/>
      <c r="AC680" s="532"/>
      <c r="AD680" s="532"/>
      <c r="AE680" s="532"/>
      <c r="AF680" s="532"/>
      <c r="AG680" s="532"/>
      <c r="AH680" s="532"/>
      <c r="AI680" s="532"/>
      <c r="AJ680" s="532"/>
    </row>
    <row r="681" spans="13:36" ht="12.95" customHeight="1" x14ac:dyDescent="0.2">
      <c r="M681" s="532"/>
      <c r="N681" s="532"/>
      <c r="O681" s="532"/>
      <c r="P681" s="90"/>
      <c r="Q681" s="532"/>
      <c r="R681" s="219"/>
      <c r="S681" s="532"/>
      <c r="T681" s="90"/>
      <c r="U681" s="532"/>
      <c r="V681" s="532"/>
      <c r="W681" s="532"/>
      <c r="X681" s="532"/>
      <c r="Y681" s="532"/>
      <c r="Z681" s="532"/>
      <c r="AA681" s="532"/>
      <c r="AB681" s="532"/>
      <c r="AC681" s="532"/>
      <c r="AD681" s="532"/>
      <c r="AE681" s="532"/>
      <c r="AF681" s="532"/>
      <c r="AG681" s="532"/>
      <c r="AH681" s="532"/>
      <c r="AI681" s="532"/>
      <c r="AJ681" s="532"/>
    </row>
    <row r="682" spans="13:36" ht="12.95" customHeight="1" x14ac:dyDescent="0.2">
      <c r="M682" s="532"/>
      <c r="N682" s="532"/>
      <c r="O682" s="532"/>
      <c r="P682" s="90"/>
      <c r="Q682" s="532"/>
      <c r="R682" s="219"/>
      <c r="S682" s="532"/>
      <c r="T682" s="90"/>
      <c r="U682" s="532"/>
      <c r="V682" s="532"/>
      <c r="W682" s="532"/>
      <c r="X682" s="532"/>
      <c r="Y682" s="532"/>
      <c r="Z682" s="532"/>
      <c r="AA682" s="532"/>
      <c r="AB682" s="532"/>
      <c r="AC682" s="532"/>
      <c r="AD682" s="532"/>
      <c r="AE682" s="532"/>
      <c r="AF682" s="532"/>
      <c r="AG682" s="532"/>
      <c r="AH682" s="532"/>
      <c r="AI682" s="532"/>
      <c r="AJ682" s="532"/>
    </row>
    <row r="683" spans="13:36" ht="12.95" customHeight="1" x14ac:dyDescent="0.2">
      <c r="M683" s="532"/>
      <c r="N683" s="532"/>
      <c r="O683" s="532"/>
      <c r="P683" s="90"/>
      <c r="Q683" s="532"/>
      <c r="R683" s="219"/>
      <c r="S683" s="532"/>
      <c r="T683" s="90"/>
      <c r="U683" s="532"/>
      <c r="V683" s="532"/>
      <c r="W683" s="532"/>
      <c r="X683" s="532"/>
      <c r="Y683" s="532"/>
      <c r="Z683" s="532"/>
      <c r="AA683" s="532"/>
      <c r="AB683" s="532"/>
      <c r="AC683" s="532"/>
      <c r="AD683" s="532"/>
      <c r="AE683" s="532"/>
      <c r="AF683" s="532"/>
      <c r="AG683" s="532"/>
      <c r="AH683" s="532"/>
      <c r="AI683" s="532"/>
      <c r="AJ683" s="532"/>
    </row>
    <row r="684" spans="13:36" ht="12.95" customHeight="1" x14ac:dyDescent="0.2">
      <c r="M684" s="532"/>
      <c r="N684" s="532"/>
      <c r="O684" s="532"/>
      <c r="P684" s="90"/>
      <c r="Q684" s="532"/>
      <c r="R684" s="219"/>
      <c r="S684" s="532"/>
      <c r="T684" s="90"/>
      <c r="U684" s="532"/>
      <c r="V684" s="532"/>
      <c r="W684" s="532"/>
      <c r="X684" s="532"/>
      <c r="Y684" s="532"/>
      <c r="Z684" s="532"/>
      <c r="AA684" s="532"/>
      <c r="AB684" s="532"/>
      <c r="AC684" s="532"/>
      <c r="AD684" s="532"/>
      <c r="AE684" s="532"/>
      <c r="AF684" s="532"/>
      <c r="AG684" s="532"/>
      <c r="AH684" s="532"/>
      <c r="AI684" s="532"/>
      <c r="AJ684" s="532"/>
    </row>
    <row r="685" spans="13:36" ht="12.95" customHeight="1" x14ac:dyDescent="0.2">
      <c r="M685" s="532"/>
      <c r="N685" s="532"/>
      <c r="O685" s="532"/>
      <c r="P685" s="90"/>
      <c r="Q685" s="532"/>
      <c r="R685" s="219"/>
      <c r="S685" s="532"/>
      <c r="T685" s="90"/>
      <c r="U685" s="532"/>
      <c r="V685" s="532"/>
      <c r="W685" s="532"/>
      <c r="X685" s="532"/>
      <c r="Y685" s="532"/>
      <c r="Z685" s="532"/>
      <c r="AA685" s="532"/>
      <c r="AB685" s="532"/>
      <c r="AC685" s="532"/>
      <c r="AD685" s="532"/>
      <c r="AE685" s="532"/>
      <c r="AF685" s="532"/>
      <c r="AG685" s="532"/>
      <c r="AH685" s="532"/>
      <c r="AI685" s="532"/>
      <c r="AJ685" s="532"/>
    </row>
    <row r="686" spans="13:36" ht="12.95" customHeight="1" x14ac:dyDescent="0.2">
      <c r="M686" s="532"/>
      <c r="N686" s="532"/>
      <c r="O686" s="532"/>
      <c r="P686" s="90"/>
      <c r="Q686" s="532"/>
      <c r="R686" s="219"/>
      <c r="S686" s="532"/>
      <c r="T686" s="90"/>
      <c r="U686" s="532"/>
      <c r="V686" s="532"/>
      <c r="W686" s="532"/>
      <c r="X686" s="532"/>
      <c r="Y686" s="532"/>
      <c r="Z686" s="532"/>
      <c r="AA686" s="532"/>
      <c r="AB686" s="532"/>
      <c r="AC686" s="532"/>
      <c r="AD686" s="532"/>
      <c r="AE686" s="532"/>
      <c r="AF686" s="532"/>
      <c r="AG686" s="532"/>
      <c r="AH686" s="532"/>
      <c r="AI686" s="532"/>
      <c r="AJ686" s="532"/>
    </row>
    <row r="687" spans="13:36" ht="12.95" customHeight="1" x14ac:dyDescent="0.2">
      <c r="M687" s="532"/>
      <c r="N687" s="532"/>
      <c r="O687" s="532"/>
      <c r="P687" s="90"/>
      <c r="Q687" s="532"/>
      <c r="R687" s="219"/>
      <c r="S687" s="532"/>
      <c r="T687" s="90"/>
      <c r="U687" s="532"/>
      <c r="V687" s="532"/>
      <c r="W687" s="532"/>
      <c r="X687" s="532"/>
      <c r="Y687" s="532"/>
      <c r="Z687" s="532"/>
      <c r="AA687" s="532"/>
      <c r="AB687" s="532"/>
      <c r="AC687" s="532"/>
      <c r="AD687" s="532"/>
      <c r="AE687" s="532"/>
      <c r="AF687" s="532"/>
      <c r="AG687" s="532"/>
      <c r="AH687" s="532"/>
      <c r="AI687" s="532"/>
      <c r="AJ687" s="532"/>
    </row>
    <row r="688" spans="13:36" ht="12.95" customHeight="1" x14ac:dyDescent="0.2">
      <c r="M688" s="532"/>
      <c r="N688" s="532"/>
      <c r="O688" s="532"/>
      <c r="P688" s="90"/>
      <c r="Q688" s="532"/>
      <c r="R688" s="219"/>
      <c r="S688" s="532"/>
      <c r="T688" s="90"/>
      <c r="U688" s="532"/>
      <c r="V688" s="532"/>
      <c r="W688" s="532"/>
      <c r="X688" s="532"/>
      <c r="Y688" s="532"/>
      <c r="Z688" s="532"/>
      <c r="AA688" s="532"/>
      <c r="AB688" s="532"/>
      <c r="AC688" s="532"/>
      <c r="AD688" s="532"/>
      <c r="AE688" s="532"/>
      <c r="AF688" s="532"/>
      <c r="AG688" s="532"/>
      <c r="AH688" s="532"/>
      <c r="AI688" s="532"/>
      <c r="AJ688" s="532"/>
    </row>
    <row r="689" spans="13:36" ht="12.95" customHeight="1" x14ac:dyDescent="0.2">
      <c r="M689" s="532"/>
      <c r="N689" s="532"/>
      <c r="O689" s="532"/>
      <c r="P689" s="90"/>
      <c r="Q689" s="532"/>
      <c r="R689" s="219"/>
      <c r="S689" s="532"/>
      <c r="T689" s="90"/>
      <c r="U689" s="532"/>
      <c r="V689" s="532"/>
      <c r="W689" s="532"/>
      <c r="X689" s="532"/>
      <c r="Y689" s="532"/>
      <c r="Z689" s="532"/>
      <c r="AA689" s="532"/>
      <c r="AB689" s="532"/>
      <c r="AC689" s="532"/>
      <c r="AD689" s="532"/>
      <c r="AE689" s="532"/>
      <c r="AF689" s="532"/>
      <c r="AG689" s="532"/>
      <c r="AH689" s="532"/>
      <c r="AI689" s="532"/>
      <c r="AJ689" s="532"/>
    </row>
    <row r="690" spans="13:36" ht="12.95" customHeight="1" x14ac:dyDescent="0.2">
      <c r="M690" s="532"/>
      <c r="N690" s="532"/>
      <c r="O690" s="532"/>
      <c r="P690" s="90"/>
      <c r="Q690" s="532"/>
      <c r="R690" s="219"/>
      <c r="S690" s="532"/>
      <c r="T690" s="90"/>
      <c r="U690" s="532"/>
      <c r="V690" s="532"/>
      <c r="W690" s="532"/>
      <c r="X690" s="532"/>
      <c r="Y690" s="532"/>
      <c r="Z690" s="532"/>
      <c r="AA690" s="532"/>
      <c r="AB690" s="532"/>
      <c r="AC690" s="532"/>
      <c r="AD690" s="532"/>
      <c r="AE690" s="532"/>
      <c r="AF690" s="532"/>
      <c r="AG690" s="532"/>
      <c r="AH690" s="532"/>
      <c r="AI690" s="532"/>
      <c r="AJ690" s="532"/>
    </row>
    <row r="691" spans="13:36" ht="12.95" customHeight="1" x14ac:dyDescent="0.2">
      <c r="M691" s="532"/>
      <c r="N691" s="532"/>
      <c r="O691" s="532"/>
      <c r="P691" s="90"/>
      <c r="Q691" s="532"/>
      <c r="R691" s="219"/>
      <c r="S691" s="532"/>
      <c r="T691" s="90"/>
      <c r="U691" s="532"/>
      <c r="V691" s="532"/>
      <c r="W691" s="532"/>
      <c r="X691" s="532"/>
      <c r="Y691" s="532"/>
      <c r="Z691" s="532"/>
      <c r="AA691" s="532"/>
      <c r="AB691" s="532"/>
      <c r="AC691" s="532"/>
      <c r="AD691" s="532"/>
      <c r="AE691" s="532"/>
      <c r="AF691" s="532"/>
      <c r="AG691" s="532"/>
      <c r="AH691" s="532"/>
      <c r="AI691" s="532"/>
      <c r="AJ691" s="532"/>
    </row>
    <row r="692" spans="13:36" ht="12.95" customHeight="1" x14ac:dyDescent="0.2">
      <c r="M692" s="532"/>
      <c r="N692" s="532"/>
      <c r="O692" s="532"/>
      <c r="P692" s="90"/>
      <c r="Q692" s="532"/>
      <c r="R692" s="219"/>
      <c r="S692" s="532"/>
      <c r="T692" s="90"/>
      <c r="U692" s="532"/>
      <c r="V692" s="532"/>
      <c r="W692" s="532"/>
      <c r="X692" s="532"/>
      <c r="Y692" s="532"/>
      <c r="Z692" s="532"/>
      <c r="AA692" s="532"/>
      <c r="AB692" s="532"/>
      <c r="AC692" s="532"/>
      <c r="AD692" s="532"/>
      <c r="AE692" s="532"/>
      <c r="AF692" s="532"/>
      <c r="AG692" s="532"/>
      <c r="AH692" s="532"/>
      <c r="AI692" s="532"/>
      <c r="AJ692" s="532"/>
    </row>
    <row r="693" spans="13:36" ht="12.95" customHeight="1" x14ac:dyDescent="0.2">
      <c r="M693" s="532"/>
      <c r="N693" s="532"/>
      <c r="O693" s="532"/>
      <c r="P693" s="90"/>
      <c r="Q693" s="532"/>
      <c r="R693" s="219"/>
      <c r="S693" s="532"/>
      <c r="T693" s="90"/>
      <c r="U693" s="532"/>
      <c r="V693" s="532"/>
      <c r="W693" s="532"/>
      <c r="X693" s="532"/>
      <c r="Y693" s="532"/>
      <c r="Z693" s="532"/>
      <c r="AA693" s="532"/>
      <c r="AB693" s="532"/>
      <c r="AC693" s="532"/>
      <c r="AD693" s="532"/>
      <c r="AE693" s="532"/>
      <c r="AF693" s="532"/>
      <c r="AG693" s="532"/>
      <c r="AH693" s="532"/>
      <c r="AI693" s="532"/>
      <c r="AJ693" s="532"/>
    </row>
    <row r="694" spans="13:36" ht="12.95" customHeight="1" x14ac:dyDescent="0.2">
      <c r="M694" s="532"/>
      <c r="N694" s="532"/>
      <c r="O694" s="532"/>
      <c r="P694" s="90"/>
      <c r="Q694" s="532"/>
      <c r="R694" s="219"/>
      <c r="S694" s="532"/>
      <c r="T694" s="90"/>
      <c r="U694" s="532"/>
      <c r="V694" s="532"/>
      <c r="W694" s="532"/>
      <c r="X694" s="532"/>
      <c r="Y694" s="532"/>
      <c r="Z694" s="532"/>
      <c r="AA694" s="532"/>
      <c r="AB694" s="532"/>
      <c r="AC694" s="532"/>
      <c r="AD694" s="532"/>
      <c r="AE694" s="532"/>
      <c r="AF694" s="532"/>
      <c r="AG694" s="532"/>
      <c r="AH694" s="532"/>
      <c r="AI694" s="532"/>
      <c r="AJ694" s="532"/>
    </row>
    <row r="695" spans="13:36" ht="12.95" customHeight="1" x14ac:dyDescent="0.2">
      <c r="M695" s="532"/>
      <c r="N695" s="532"/>
      <c r="O695" s="532"/>
      <c r="P695" s="90"/>
      <c r="Q695" s="532"/>
      <c r="R695" s="219"/>
      <c r="S695" s="532"/>
      <c r="T695" s="90"/>
      <c r="U695" s="532"/>
      <c r="V695" s="532"/>
      <c r="W695" s="532"/>
      <c r="X695" s="532"/>
      <c r="Y695" s="532"/>
      <c r="Z695" s="532"/>
      <c r="AA695" s="532"/>
      <c r="AB695" s="532"/>
      <c r="AC695" s="532"/>
      <c r="AD695" s="532"/>
      <c r="AE695" s="532"/>
      <c r="AF695" s="532"/>
      <c r="AG695" s="532"/>
      <c r="AH695" s="532"/>
      <c r="AI695" s="532"/>
      <c r="AJ695" s="532"/>
    </row>
    <row r="696" spans="13:36" ht="12.95" customHeight="1" x14ac:dyDescent="0.2">
      <c r="M696" s="532"/>
      <c r="N696" s="532"/>
      <c r="O696" s="532"/>
      <c r="P696" s="90"/>
      <c r="Q696" s="532"/>
      <c r="R696" s="219"/>
      <c r="S696" s="532"/>
      <c r="T696" s="90"/>
      <c r="U696" s="532"/>
      <c r="V696" s="532"/>
      <c r="W696" s="532"/>
      <c r="X696" s="532"/>
      <c r="Y696" s="532"/>
      <c r="Z696" s="532"/>
      <c r="AA696" s="532"/>
      <c r="AB696" s="532"/>
      <c r="AC696" s="532"/>
      <c r="AD696" s="532"/>
      <c r="AE696" s="532"/>
      <c r="AF696" s="532"/>
      <c r="AG696" s="532"/>
      <c r="AH696" s="532"/>
      <c r="AI696" s="532"/>
      <c r="AJ696" s="532"/>
    </row>
    <row r="697" spans="13:36" ht="12.95" customHeight="1" x14ac:dyDescent="0.2">
      <c r="M697" s="532"/>
      <c r="N697" s="532"/>
      <c r="O697" s="532"/>
      <c r="P697" s="90"/>
      <c r="Q697" s="532"/>
      <c r="R697" s="219"/>
      <c r="S697" s="532"/>
      <c r="T697" s="90"/>
      <c r="U697" s="532"/>
      <c r="V697" s="532"/>
      <c r="W697" s="532"/>
      <c r="X697" s="532"/>
      <c r="Y697" s="532"/>
      <c r="Z697" s="532"/>
      <c r="AA697" s="532"/>
      <c r="AB697" s="532"/>
      <c r="AC697" s="532"/>
      <c r="AD697" s="532"/>
      <c r="AE697" s="532"/>
      <c r="AF697" s="532"/>
      <c r="AG697" s="532"/>
      <c r="AH697" s="532"/>
      <c r="AI697" s="532"/>
      <c r="AJ697" s="532"/>
    </row>
    <row r="698" spans="13:36" ht="12.95" customHeight="1" x14ac:dyDescent="0.2">
      <c r="M698" s="532"/>
      <c r="N698" s="532"/>
      <c r="O698" s="532"/>
      <c r="P698" s="90"/>
      <c r="Q698" s="532"/>
      <c r="R698" s="219"/>
      <c r="S698" s="532"/>
      <c r="T698" s="90"/>
      <c r="U698" s="532"/>
      <c r="V698" s="532"/>
      <c r="W698" s="532"/>
      <c r="X698" s="532"/>
      <c r="Y698" s="532"/>
      <c r="Z698" s="532"/>
      <c r="AA698" s="532"/>
      <c r="AB698" s="532"/>
      <c r="AC698" s="532"/>
      <c r="AD698" s="532"/>
      <c r="AE698" s="532"/>
      <c r="AF698" s="532"/>
      <c r="AG698" s="532"/>
      <c r="AH698" s="532"/>
      <c r="AI698" s="532"/>
      <c r="AJ698" s="532"/>
    </row>
    <row r="699" spans="13:36" ht="12.95" customHeight="1" x14ac:dyDescent="0.2">
      <c r="M699" s="532"/>
      <c r="N699" s="532"/>
      <c r="O699" s="532"/>
      <c r="P699" s="90"/>
      <c r="Q699" s="532"/>
      <c r="R699" s="219"/>
      <c r="S699" s="532"/>
      <c r="T699" s="90"/>
      <c r="U699" s="532"/>
      <c r="V699" s="532"/>
      <c r="W699" s="532"/>
      <c r="X699" s="532"/>
      <c r="Y699" s="532"/>
      <c r="Z699" s="532"/>
      <c r="AA699" s="532"/>
      <c r="AB699" s="532"/>
      <c r="AC699" s="532"/>
      <c r="AD699" s="532"/>
      <c r="AE699" s="532"/>
      <c r="AF699" s="532"/>
      <c r="AG699" s="532"/>
      <c r="AH699" s="532"/>
      <c r="AI699" s="532"/>
      <c r="AJ699" s="532"/>
    </row>
    <row r="700" spans="13:36" ht="12.95" customHeight="1" x14ac:dyDescent="0.2">
      <c r="M700" s="532"/>
      <c r="N700" s="532"/>
      <c r="O700" s="532"/>
      <c r="P700" s="90"/>
      <c r="Q700" s="532"/>
      <c r="R700" s="219"/>
      <c r="S700" s="532"/>
      <c r="T700" s="90"/>
      <c r="U700" s="532"/>
      <c r="V700" s="532"/>
      <c r="W700" s="532"/>
      <c r="X700" s="532"/>
      <c r="Y700" s="532"/>
      <c r="Z700" s="532"/>
      <c r="AA700" s="532"/>
      <c r="AB700" s="532"/>
      <c r="AC700" s="532"/>
      <c r="AD700" s="532"/>
      <c r="AE700" s="532"/>
      <c r="AF700" s="532"/>
      <c r="AG700" s="532"/>
      <c r="AH700" s="532"/>
      <c r="AI700" s="532"/>
      <c r="AJ700" s="532"/>
    </row>
    <row r="701" spans="13:36" ht="12.95" customHeight="1" x14ac:dyDescent="0.2">
      <c r="M701" s="532"/>
      <c r="N701" s="532"/>
      <c r="O701" s="532"/>
      <c r="P701" s="90"/>
      <c r="Q701" s="532"/>
      <c r="R701" s="219"/>
      <c r="S701" s="532"/>
      <c r="T701" s="90"/>
      <c r="U701" s="532"/>
      <c r="V701" s="532"/>
      <c r="W701" s="532"/>
      <c r="X701" s="532"/>
      <c r="Y701" s="532"/>
      <c r="Z701" s="532"/>
      <c r="AA701" s="532"/>
      <c r="AB701" s="532"/>
      <c r="AC701" s="532"/>
      <c r="AD701" s="532"/>
      <c r="AE701" s="532"/>
      <c r="AF701" s="532"/>
      <c r="AG701" s="532"/>
      <c r="AH701" s="532"/>
      <c r="AI701" s="532"/>
      <c r="AJ701" s="532"/>
    </row>
    <row r="702" spans="13:36" ht="12.95" customHeight="1" x14ac:dyDescent="0.2">
      <c r="M702" s="532"/>
      <c r="N702" s="532"/>
      <c r="O702" s="532"/>
      <c r="P702" s="90"/>
      <c r="Q702" s="532"/>
      <c r="R702" s="219"/>
      <c r="S702" s="532"/>
      <c r="T702" s="90"/>
      <c r="U702" s="532"/>
      <c r="V702" s="532"/>
      <c r="W702" s="532"/>
      <c r="X702" s="532"/>
      <c r="Y702" s="532"/>
      <c r="Z702" s="532"/>
      <c r="AA702" s="532"/>
      <c r="AB702" s="532"/>
      <c r="AC702" s="532"/>
      <c r="AD702" s="532"/>
      <c r="AE702" s="532"/>
      <c r="AF702" s="532"/>
      <c r="AG702" s="532"/>
      <c r="AH702" s="532"/>
      <c r="AI702" s="532"/>
      <c r="AJ702" s="532"/>
    </row>
    <row r="703" spans="13:36" ht="12.95" customHeight="1" x14ac:dyDescent="0.2">
      <c r="M703" s="532"/>
      <c r="N703" s="532"/>
      <c r="O703" s="532"/>
      <c r="P703" s="90"/>
      <c r="Q703" s="532"/>
      <c r="R703" s="219"/>
      <c r="S703" s="532"/>
      <c r="T703" s="90"/>
      <c r="U703" s="532"/>
      <c r="V703" s="532"/>
      <c r="W703" s="532"/>
      <c r="X703" s="532"/>
      <c r="Y703" s="532"/>
      <c r="Z703" s="532"/>
      <c r="AA703" s="532"/>
      <c r="AB703" s="532"/>
      <c r="AC703" s="532"/>
      <c r="AD703" s="532"/>
      <c r="AE703" s="532"/>
      <c r="AF703" s="532"/>
      <c r="AG703" s="532"/>
      <c r="AH703" s="532"/>
      <c r="AI703" s="532"/>
      <c r="AJ703" s="532"/>
    </row>
    <row r="704" spans="13:36" ht="12.95" customHeight="1" x14ac:dyDescent="0.2">
      <c r="M704" s="532"/>
      <c r="N704" s="532"/>
      <c r="O704" s="532"/>
      <c r="P704" s="90"/>
      <c r="Q704" s="532"/>
      <c r="R704" s="219"/>
      <c r="S704" s="532"/>
      <c r="T704" s="90"/>
      <c r="U704" s="532"/>
      <c r="V704" s="532"/>
      <c r="W704" s="532"/>
      <c r="X704" s="532"/>
      <c r="Y704" s="532"/>
      <c r="Z704" s="532"/>
      <c r="AA704" s="532"/>
      <c r="AB704" s="532"/>
      <c r="AC704" s="532"/>
      <c r="AD704" s="532"/>
      <c r="AE704" s="532"/>
      <c r="AF704" s="532"/>
      <c r="AG704" s="532"/>
      <c r="AH704" s="532"/>
      <c r="AI704" s="532"/>
      <c r="AJ704" s="532"/>
    </row>
    <row r="705" spans="13:36" ht="12.95" customHeight="1" x14ac:dyDescent="0.2">
      <c r="M705" s="532"/>
      <c r="N705" s="532"/>
      <c r="O705" s="532"/>
      <c r="P705" s="90"/>
      <c r="Q705" s="532"/>
      <c r="R705" s="219"/>
      <c r="S705" s="532"/>
      <c r="T705" s="90"/>
      <c r="U705" s="532"/>
      <c r="V705" s="532"/>
      <c r="W705" s="532"/>
      <c r="X705" s="532"/>
      <c r="Y705" s="532"/>
      <c r="Z705" s="532"/>
      <c r="AA705" s="532"/>
      <c r="AB705" s="532"/>
      <c r="AC705" s="532"/>
      <c r="AD705" s="532"/>
      <c r="AE705" s="532"/>
      <c r="AF705" s="532"/>
      <c r="AG705" s="532"/>
      <c r="AH705" s="532"/>
      <c r="AI705" s="532"/>
      <c r="AJ705" s="532"/>
    </row>
    <row r="706" spans="13:36" ht="12.95" customHeight="1" x14ac:dyDescent="0.2">
      <c r="M706" s="532"/>
      <c r="N706" s="532"/>
      <c r="O706" s="532"/>
      <c r="P706" s="90"/>
      <c r="Q706" s="532"/>
      <c r="R706" s="219"/>
      <c r="S706" s="532"/>
      <c r="T706" s="90"/>
      <c r="U706" s="532"/>
      <c r="V706" s="532"/>
      <c r="W706" s="532"/>
      <c r="X706" s="532"/>
      <c r="Y706" s="532"/>
      <c r="Z706" s="532"/>
      <c r="AA706" s="532"/>
      <c r="AB706" s="532"/>
      <c r="AC706" s="532"/>
      <c r="AD706" s="532"/>
      <c r="AE706" s="532"/>
      <c r="AF706" s="532"/>
      <c r="AG706" s="532"/>
      <c r="AH706" s="532"/>
      <c r="AI706" s="532"/>
      <c r="AJ706" s="532"/>
    </row>
    <row r="707" spans="13:36" ht="12.95" customHeight="1" x14ac:dyDescent="0.2">
      <c r="M707" s="532"/>
      <c r="N707" s="532"/>
      <c r="O707" s="532"/>
      <c r="P707" s="90"/>
      <c r="Q707" s="532"/>
      <c r="R707" s="219"/>
      <c r="S707" s="532"/>
      <c r="T707" s="90"/>
      <c r="U707" s="532"/>
      <c r="V707" s="532"/>
      <c r="W707" s="532"/>
      <c r="X707" s="532"/>
      <c r="Y707" s="532"/>
      <c r="Z707" s="532"/>
      <c r="AA707" s="532"/>
      <c r="AB707" s="532"/>
      <c r="AC707" s="532"/>
      <c r="AD707" s="532"/>
      <c r="AE707" s="532"/>
      <c r="AF707" s="532"/>
      <c r="AG707" s="532"/>
      <c r="AH707" s="532"/>
      <c r="AI707" s="532"/>
      <c r="AJ707" s="532"/>
    </row>
    <row r="708" spans="13:36" ht="12.95" customHeight="1" x14ac:dyDescent="0.2">
      <c r="M708" s="532"/>
      <c r="N708" s="532"/>
      <c r="O708" s="532"/>
      <c r="P708" s="90"/>
      <c r="Q708" s="532"/>
      <c r="R708" s="219"/>
      <c r="S708" s="532"/>
      <c r="T708" s="90"/>
      <c r="U708" s="532"/>
      <c r="V708" s="532"/>
      <c r="W708" s="532"/>
      <c r="X708" s="532"/>
      <c r="Y708" s="532"/>
      <c r="Z708" s="532"/>
      <c r="AA708" s="532"/>
      <c r="AB708" s="532"/>
      <c r="AC708" s="532"/>
      <c r="AD708" s="532"/>
      <c r="AE708" s="532"/>
      <c r="AF708" s="532"/>
      <c r="AG708" s="532"/>
      <c r="AH708" s="532"/>
      <c r="AI708" s="532"/>
      <c r="AJ708" s="532"/>
    </row>
    <row r="709" spans="13:36" ht="12.95" customHeight="1" x14ac:dyDescent="0.2">
      <c r="M709" s="532"/>
      <c r="N709" s="532"/>
      <c r="O709" s="532"/>
      <c r="P709" s="90"/>
      <c r="Q709" s="532"/>
      <c r="R709" s="219"/>
      <c r="S709" s="532"/>
      <c r="T709" s="90"/>
      <c r="U709" s="532"/>
      <c r="V709" s="532"/>
      <c r="W709" s="532"/>
      <c r="X709" s="532"/>
      <c r="Y709" s="532"/>
      <c r="Z709" s="532"/>
      <c r="AA709" s="532"/>
      <c r="AB709" s="532"/>
      <c r="AC709" s="532"/>
      <c r="AD709" s="532"/>
      <c r="AE709" s="532"/>
      <c r="AF709" s="532"/>
      <c r="AG709" s="532"/>
      <c r="AH709" s="532"/>
      <c r="AI709" s="532"/>
      <c r="AJ709" s="532"/>
    </row>
    <row r="710" spans="13:36" ht="12.95" customHeight="1" x14ac:dyDescent="0.2">
      <c r="M710" s="532"/>
      <c r="N710" s="532"/>
      <c r="O710" s="532"/>
      <c r="P710" s="90"/>
      <c r="Q710" s="532"/>
      <c r="R710" s="219"/>
      <c r="S710" s="532"/>
      <c r="T710" s="90"/>
      <c r="U710" s="532"/>
      <c r="V710" s="532"/>
      <c r="W710" s="532"/>
      <c r="X710" s="532"/>
      <c r="Y710" s="532"/>
      <c r="Z710" s="532"/>
      <c r="AA710" s="532"/>
      <c r="AB710" s="532"/>
      <c r="AC710" s="532"/>
      <c r="AD710" s="532"/>
      <c r="AE710" s="532"/>
      <c r="AF710" s="532"/>
      <c r="AG710" s="532"/>
      <c r="AH710" s="532"/>
      <c r="AI710" s="532"/>
      <c r="AJ710" s="532"/>
    </row>
    <row r="711" spans="13:36" ht="12.95" customHeight="1" x14ac:dyDescent="0.2">
      <c r="M711" s="532"/>
      <c r="N711" s="532"/>
      <c r="O711" s="532"/>
      <c r="P711" s="90"/>
      <c r="Q711" s="532"/>
      <c r="R711" s="219"/>
      <c r="S711" s="532"/>
      <c r="T711" s="90"/>
      <c r="U711" s="532"/>
      <c r="V711" s="532"/>
      <c r="W711" s="532"/>
      <c r="X711" s="532"/>
      <c r="Y711" s="532"/>
      <c r="Z711" s="532"/>
      <c r="AA711" s="532"/>
      <c r="AB711" s="532"/>
      <c r="AC711" s="532"/>
      <c r="AD711" s="532"/>
      <c r="AE711" s="532"/>
      <c r="AF711" s="532"/>
      <c r="AG711" s="532"/>
      <c r="AH711" s="532"/>
      <c r="AI711" s="532"/>
      <c r="AJ711" s="532"/>
    </row>
    <row r="712" spans="13:36" ht="12.95" customHeight="1" x14ac:dyDescent="0.2">
      <c r="M712" s="532"/>
      <c r="N712" s="532"/>
      <c r="O712" s="532"/>
      <c r="P712" s="90"/>
      <c r="Q712" s="532"/>
      <c r="R712" s="219"/>
      <c r="S712" s="532"/>
      <c r="T712" s="90"/>
      <c r="U712" s="532"/>
      <c r="V712" s="532"/>
      <c r="W712" s="532"/>
      <c r="X712" s="532"/>
      <c r="Y712" s="532"/>
      <c r="Z712" s="532"/>
      <c r="AA712" s="532"/>
      <c r="AB712" s="532"/>
      <c r="AC712" s="532"/>
      <c r="AD712" s="532"/>
      <c r="AE712" s="532"/>
      <c r="AF712" s="532"/>
      <c r="AG712" s="532"/>
      <c r="AH712" s="532"/>
      <c r="AI712" s="532"/>
      <c r="AJ712" s="532"/>
    </row>
    <row r="713" spans="13:36" ht="12.95" customHeight="1" x14ac:dyDescent="0.2">
      <c r="M713" s="532"/>
      <c r="N713" s="532"/>
      <c r="O713" s="532"/>
      <c r="P713" s="90"/>
      <c r="Q713" s="532"/>
      <c r="R713" s="219"/>
      <c r="S713" s="532"/>
      <c r="T713" s="90"/>
      <c r="U713" s="532"/>
      <c r="V713" s="532"/>
      <c r="W713" s="532"/>
      <c r="X713" s="532"/>
      <c r="Y713" s="532"/>
      <c r="Z713" s="532"/>
      <c r="AA713" s="532"/>
      <c r="AB713" s="532"/>
      <c r="AC713" s="532"/>
      <c r="AD713" s="532"/>
      <c r="AE713" s="532"/>
      <c r="AF713" s="532"/>
      <c r="AG713" s="532"/>
      <c r="AH713" s="532"/>
      <c r="AI713" s="532"/>
      <c r="AJ713" s="532"/>
    </row>
    <row r="714" spans="13:36" ht="12.95" customHeight="1" x14ac:dyDescent="0.2">
      <c r="M714" s="532"/>
      <c r="N714" s="532"/>
      <c r="O714" s="532"/>
      <c r="P714" s="90"/>
      <c r="Q714" s="532"/>
      <c r="R714" s="219"/>
      <c r="S714" s="532"/>
      <c r="T714" s="90"/>
      <c r="U714" s="532"/>
      <c r="V714" s="532"/>
      <c r="W714" s="532"/>
      <c r="X714" s="532"/>
      <c r="Y714" s="532"/>
      <c r="Z714" s="532"/>
      <c r="AA714" s="532"/>
      <c r="AB714" s="532"/>
      <c r="AC714" s="532"/>
      <c r="AD714" s="532"/>
      <c r="AE714" s="532"/>
      <c r="AF714" s="532"/>
      <c r="AG714" s="532"/>
      <c r="AH714" s="532"/>
      <c r="AI714" s="532"/>
      <c r="AJ714" s="532"/>
    </row>
    <row r="715" spans="13:36" ht="12.95" customHeight="1" x14ac:dyDescent="0.2">
      <c r="M715" s="532"/>
      <c r="N715" s="532"/>
      <c r="O715" s="532"/>
      <c r="P715" s="90"/>
      <c r="Q715" s="532"/>
      <c r="R715" s="219"/>
      <c r="S715" s="532"/>
      <c r="T715" s="90"/>
      <c r="U715" s="532"/>
      <c r="V715" s="532"/>
      <c r="W715" s="532"/>
      <c r="X715" s="532"/>
      <c r="Y715" s="532"/>
      <c r="Z715" s="532"/>
      <c r="AA715" s="532"/>
      <c r="AB715" s="532"/>
      <c r="AC715" s="532"/>
      <c r="AD715" s="532"/>
      <c r="AE715" s="532"/>
      <c r="AF715" s="532"/>
      <c r="AG715" s="532"/>
      <c r="AH715" s="532"/>
      <c r="AI715" s="532"/>
      <c r="AJ715" s="532"/>
    </row>
    <row r="716" spans="13:36" ht="12.95" customHeight="1" x14ac:dyDescent="0.2">
      <c r="M716" s="532"/>
      <c r="N716" s="532"/>
      <c r="O716" s="532"/>
      <c r="P716" s="90"/>
      <c r="Q716" s="532"/>
      <c r="R716" s="219"/>
      <c r="S716" s="532"/>
      <c r="T716" s="90"/>
      <c r="U716" s="532"/>
      <c r="V716" s="532"/>
      <c r="W716" s="532"/>
      <c r="X716" s="532"/>
      <c r="Y716" s="532"/>
      <c r="Z716" s="532"/>
      <c r="AA716" s="532"/>
      <c r="AB716" s="532"/>
      <c r="AC716" s="532"/>
      <c r="AD716" s="532"/>
      <c r="AE716" s="532"/>
      <c r="AF716" s="532"/>
      <c r="AG716" s="532"/>
      <c r="AH716" s="532"/>
      <c r="AI716" s="532"/>
      <c r="AJ716" s="532"/>
    </row>
    <row r="717" spans="13:36" ht="12.95" customHeight="1" x14ac:dyDescent="0.2">
      <c r="M717" s="532"/>
      <c r="N717" s="532"/>
      <c r="O717" s="532"/>
      <c r="P717" s="90"/>
      <c r="Q717" s="532"/>
      <c r="R717" s="219"/>
      <c r="S717" s="532"/>
      <c r="T717" s="90"/>
      <c r="U717" s="532"/>
      <c r="V717" s="532"/>
      <c r="W717" s="532"/>
      <c r="X717" s="532"/>
      <c r="Y717" s="532"/>
      <c r="Z717" s="532"/>
      <c r="AA717" s="532"/>
      <c r="AB717" s="532"/>
      <c r="AC717" s="532"/>
      <c r="AD717" s="532"/>
      <c r="AE717" s="532"/>
      <c r="AF717" s="532"/>
      <c r="AG717" s="532"/>
      <c r="AH717" s="532"/>
      <c r="AI717" s="532"/>
      <c r="AJ717" s="532"/>
    </row>
    <row r="718" spans="13:36" ht="12.95" customHeight="1" x14ac:dyDescent="0.2">
      <c r="M718" s="532"/>
      <c r="N718" s="532"/>
      <c r="O718" s="532"/>
      <c r="P718" s="90"/>
      <c r="Q718" s="532"/>
      <c r="R718" s="219"/>
      <c r="S718" s="532"/>
      <c r="T718" s="90"/>
      <c r="U718" s="532"/>
      <c r="V718" s="532"/>
      <c r="W718" s="532"/>
      <c r="X718" s="532"/>
      <c r="Y718" s="532"/>
      <c r="Z718" s="532"/>
      <c r="AA718" s="532"/>
      <c r="AB718" s="532"/>
      <c r="AC718" s="532"/>
      <c r="AD718" s="532"/>
      <c r="AE718" s="532"/>
      <c r="AF718" s="532"/>
      <c r="AG718" s="532"/>
      <c r="AH718" s="532"/>
      <c r="AI718" s="532"/>
      <c r="AJ718" s="532"/>
    </row>
    <row r="719" spans="13:36" ht="12.95" customHeight="1" x14ac:dyDescent="0.2">
      <c r="M719" s="532"/>
      <c r="N719" s="532"/>
      <c r="O719" s="532"/>
      <c r="P719" s="90"/>
      <c r="Q719" s="532"/>
      <c r="R719" s="219"/>
      <c r="S719" s="532"/>
      <c r="T719" s="90"/>
      <c r="U719" s="532"/>
      <c r="V719" s="532"/>
      <c r="W719" s="532"/>
      <c r="X719" s="532"/>
      <c r="Y719" s="532"/>
      <c r="Z719" s="532"/>
      <c r="AA719" s="532"/>
      <c r="AB719" s="532"/>
      <c r="AC719" s="532"/>
      <c r="AD719" s="532"/>
      <c r="AE719" s="532"/>
      <c r="AF719" s="532"/>
      <c r="AG719" s="532"/>
      <c r="AH719" s="532"/>
      <c r="AI719" s="532"/>
      <c r="AJ719" s="532"/>
    </row>
    <row r="720" spans="13:36" ht="12.95" customHeight="1" x14ac:dyDescent="0.2">
      <c r="M720" s="532"/>
      <c r="N720" s="532"/>
      <c r="O720" s="532"/>
      <c r="P720" s="90"/>
      <c r="Q720" s="532"/>
      <c r="R720" s="219"/>
      <c r="S720" s="532"/>
      <c r="T720" s="90"/>
      <c r="U720" s="532"/>
      <c r="V720" s="532"/>
      <c r="W720" s="532"/>
      <c r="X720" s="532"/>
      <c r="Y720" s="532"/>
      <c r="Z720" s="532"/>
      <c r="AA720" s="532"/>
      <c r="AB720" s="532"/>
      <c r="AC720" s="532"/>
      <c r="AD720" s="532"/>
      <c r="AE720" s="532"/>
      <c r="AF720" s="532"/>
      <c r="AG720" s="532"/>
      <c r="AH720" s="532"/>
      <c r="AI720" s="532"/>
      <c r="AJ720" s="532"/>
    </row>
    <row r="721" spans="13:36" ht="12.95" customHeight="1" x14ac:dyDescent="0.2">
      <c r="M721" s="532"/>
      <c r="N721" s="532"/>
      <c r="O721" s="532"/>
      <c r="P721" s="90"/>
      <c r="Q721" s="532"/>
      <c r="R721" s="219"/>
      <c r="S721" s="532"/>
      <c r="T721" s="90"/>
      <c r="U721" s="532"/>
      <c r="V721" s="532"/>
      <c r="W721" s="532"/>
      <c r="X721" s="532"/>
      <c r="Y721" s="532"/>
      <c r="Z721" s="532"/>
      <c r="AA721" s="532"/>
      <c r="AB721" s="532"/>
      <c r="AC721" s="532"/>
      <c r="AD721" s="532"/>
      <c r="AE721" s="532"/>
      <c r="AF721" s="532"/>
      <c r="AG721" s="532"/>
      <c r="AH721" s="532"/>
      <c r="AI721" s="532"/>
      <c r="AJ721" s="532"/>
    </row>
    <row r="722" spans="13:36" ht="12.95" customHeight="1" x14ac:dyDescent="0.2">
      <c r="M722" s="532"/>
      <c r="N722" s="532"/>
      <c r="O722" s="532"/>
      <c r="P722" s="90"/>
      <c r="Q722" s="532"/>
      <c r="R722" s="219"/>
      <c r="S722" s="532"/>
      <c r="T722" s="90"/>
      <c r="U722" s="532"/>
      <c r="V722" s="532"/>
      <c r="W722" s="532"/>
      <c r="X722" s="532"/>
      <c r="Y722" s="532"/>
      <c r="Z722" s="532"/>
      <c r="AA722" s="532"/>
      <c r="AB722" s="532"/>
      <c r="AC722" s="532"/>
      <c r="AD722" s="532"/>
      <c r="AE722" s="532"/>
      <c r="AF722" s="532"/>
      <c r="AG722" s="532"/>
      <c r="AH722" s="532"/>
      <c r="AI722" s="532"/>
      <c r="AJ722" s="532"/>
    </row>
    <row r="723" spans="13:36" ht="12.95" customHeight="1" x14ac:dyDescent="0.2">
      <c r="M723" s="532"/>
      <c r="N723" s="532"/>
      <c r="O723" s="532"/>
      <c r="P723" s="90"/>
      <c r="Q723" s="532"/>
      <c r="R723" s="219"/>
      <c r="S723" s="532"/>
      <c r="T723" s="90"/>
      <c r="U723" s="532"/>
      <c r="V723" s="532"/>
      <c r="W723" s="532"/>
      <c r="X723" s="532"/>
      <c r="Y723" s="532"/>
      <c r="Z723" s="532"/>
      <c r="AA723" s="532"/>
      <c r="AB723" s="532"/>
      <c r="AC723" s="532"/>
      <c r="AD723" s="532"/>
      <c r="AE723" s="532"/>
      <c r="AF723" s="532"/>
      <c r="AG723" s="532"/>
      <c r="AH723" s="532"/>
      <c r="AI723" s="532"/>
      <c r="AJ723" s="532"/>
    </row>
    <row r="724" spans="13:36" ht="12.95" customHeight="1" x14ac:dyDescent="0.2">
      <c r="M724" s="532"/>
      <c r="N724" s="532"/>
      <c r="O724" s="532"/>
      <c r="P724" s="90"/>
      <c r="Q724" s="532"/>
      <c r="R724" s="219"/>
      <c r="S724" s="532"/>
      <c r="T724" s="90"/>
      <c r="U724" s="532"/>
      <c r="V724" s="532"/>
      <c r="W724" s="532"/>
      <c r="X724" s="532"/>
      <c r="Y724" s="532"/>
      <c r="Z724" s="532"/>
      <c r="AA724" s="532"/>
      <c r="AB724" s="532"/>
      <c r="AC724" s="532"/>
      <c r="AD724" s="532"/>
      <c r="AE724" s="532"/>
      <c r="AF724" s="532"/>
      <c r="AG724" s="532"/>
      <c r="AH724" s="532"/>
      <c r="AI724" s="532"/>
      <c r="AJ724" s="532"/>
    </row>
    <row r="725" spans="13:36" ht="12.95" customHeight="1" x14ac:dyDescent="0.2">
      <c r="M725" s="532"/>
      <c r="N725" s="532"/>
      <c r="O725" s="532"/>
      <c r="P725" s="90"/>
      <c r="Q725" s="532"/>
      <c r="R725" s="219"/>
      <c r="S725" s="532"/>
      <c r="T725" s="90"/>
      <c r="U725" s="532"/>
      <c r="V725" s="532"/>
      <c r="W725" s="532"/>
      <c r="X725" s="532"/>
      <c r="Y725" s="532"/>
      <c r="Z725" s="532"/>
      <c r="AA725" s="532"/>
      <c r="AB725" s="532"/>
      <c r="AC725" s="532"/>
      <c r="AD725" s="532"/>
      <c r="AE725" s="532"/>
      <c r="AF725" s="532"/>
      <c r="AG725" s="532"/>
      <c r="AH725" s="532"/>
      <c r="AI725" s="532"/>
      <c r="AJ725" s="532"/>
    </row>
    <row r="726" spans="13:36" ht="12.95" customHeight="1" x14ac:dyDescent="0.2">
      <c r="M726" s="532"/>
      <c r="N726" s="532"/>
      <c r="O726" s="532"/>
      <c r="P726" s="90"/>
      <c r="Q726" s="532"/>
      <c r="R726" s="219"/>
      <c r="S726" s="532"/>
      <c r="T726" s="90"/>
      <c r="U726" s="532"/>
      <c r="V726" s="532"/>
      <c r="W726" s="532"/>
      <c r="X726" s="532"/>
      <c r="Y726" s="532"/>
      <c r="Z726" s="532"/>
      <c r="AA726" s="532"/>
      <c r="AB726" s="532"/>
      <c r="AC726" s="532"/>
      <c r="AD726" s="532"/>
      <c r="AE726" s="532"/>
      <c r="AF726" s="532"/>
      <c r="AG726" s="532"/>
      <c r="AH726" s="532"/>
      <c r="AI726" s="532"/>
      <c r="AJ726" s="532"/>
    </row>
    <row r="727" spans="13:36" ht="12.95" customHeight="1" x14ac:dyDescent="0.2">
      <c r="M727" s="532"/>
      <c r="N727" s="532"/>
      <c r="O727" s="532"/>
      <c r="P727" s="90"/>
      <c r="Q727" s="532"/>
      <c r="R727" s="219"/>
      <c r="S727" s="532"/>
      <c r="T727" s="90"/>
      <c r="U727" s="532"/>
      <c r="V727" s="532"/>
      <c r="W727" s="532"/>
      <c r="X727" s="532"/>
      <c r="Y727" s="532"/>
      <c r="Z727" s="532"/>
      <c r="AA727" s="532"/>
      <c r="AB727" s="532"/>
      <c r="AC727" s="532"/>
      <c r="AD727" s="532"/>
      <c r="AE727" s="532"/>
      <c r="AF727" s="532"/>
      <c r="AG727" s="532"/>
      <c r="AH727" s="532"/>
      <c r="AI727" s="532"/>
      <c r="AJ727" s="532"/>
    </row>
    <row r="728" spans="13:36" ht="12.95" customHeight="1" x14ac:dyDescent="0.2">
      <c r="M728" s="532"/>
      <c r="N728" s="532"/>
      <c r="O728" s="532"/>
      <c r="P728" s="90"/>
      <c r="Q728" s="532"/>
      <c r="R728" s="219"/>
      <c r="S728" s="532"/>
      <c r="T728" s="90"/>
      <c r="U728" s="532"/>
      <c r="V728" s="532"/>
      <c r="W728" s="532"/>
      <c r="X728" s="532"/>
      <c r="Y728" s="532"/>
      <c r="Z728" s="532"/>
      <c r="AA728" s="532"/>
      <c r="AB728" s="532"/>
      <c r="AC728" s="532"/>
      <c r="AD728" s="532"/>
      <c r="AE728" s="532"/>
      <c r="AF728" s="532"/>
      <c r="AG728" s="532"/>
      <c r="AH728" s="532"/>
      <c r="AI728" s="532"/>
      <c r="AJ728" s="532"/>
    </row>
    <row r="729" spans="13:36" ht="12.95" customHeight="1" x14ac:dyDescent="0.2">
      <c r="M729" s="532"/>
      <c r="N729" s="532"/>
      <c r="O729" s="532"/>
      <c r="P729" s="90"/>
      <c r="Q729" s="532"/>
      <c r="R729" s="219"/>
      <c r="S729" s="532"/>
      <c r="T729" s="90"/>
      <c r="U729" s="532"/>
      <c r="V729" s="532"/>
      <c r="W729" s="532"/>
      <c r="X729" s="532"/>
      <c r="Y729" s="532"/>
      <c r="Z729" s="532"/>
      <c r="AA729" s="532"/>
      <c r="AB729" s="532"/>
      <c r="AC729" s="532"/>
      <c r="AD729" s="532"/>
      <c r="AE729" s="532"/>
      <c r="AF729" s="532"/>
      <c r="AG729" s="532"/>
      <c r="AH729" s="532"/>
      <c r="AI729" s="532"/>
      <c r="AJ729" s="532"/>
    </row>
    <row r="730" spans="13:36" ht="12.95" customHeight="1" x14ac:dyDescent="0.2">
      <c r="M730" s="532"/>
      <c r="N730" s="532"/>
      <c r="O730" s="532"/>
      <c r="P730" s="90"/>
      <c r="Q730" s="532"/>
      <c r="R730" s="219"/>
      <c r="S730" s="532"/>
      <c r="T730" s="90"/>
      <c r="U730" s="532"/>
      <c r="V730" s="532"/>
      <c r="W730" s="532"/>
      <c r="X730" s="532"/>
      <c r="Y730" s="532"/>
      <c r="Z730" s="532"/>
      <c r="AA730" s="532"/>
      <c r="AB730" s="532"/>
      <c r="AC730" s="532"/>
      <c r="AD730" s="532"/>
      <c r="AE730" s="532"/>
      <c r="AF730" s="532"/>
      <c r="AG730" s="532"/>
      <c r="AH730" s="532"/>
      <c r="AI730" s="532"/>
      <c r="AJ730" s="532"/>
    </row>
    <row r="731" spans="13:36" ht="12.95" customHeight="1" x14ac:dyDescent="0.2">
      <c r="M731" s="532"/>
      <c r="N731" s="532"/>
      <c r="O731" s="532"/>
      <c r="P731" s="90"/>
      <c r="Q731" s="532"/>
      <c r="R731" s="219"/>
      <c r="S731" s="532"/>
      <c r="T731" s="90"/>
      <c r="U731" s="532"/>
      <c r="V731" s="532"/>
      <c r="W731" s="532"/>
      <c r="X731" s="532"/>
      <c r="Y731" s="532"/>
      <c r="Z731" s="532"/>
      <c r="AA731" s="532"/>
      <c r="AB731" s="532"/>
      <c r="AC731" s="532"/>
      <c r="AD731" s="532"/>
      <c r="AE731" s="532"/>
      <c r="AF731" s="532"/>
      <c r="AG731" s="532"/>
      <c r="AH731" s="532"/>
      <c r="AI731" s="532"/>
      <c r="AJ731" s="532"/>
    </row>
    <row r="732" spans="13:36" ht="12.95" customHeight="1" x14ac:dyDescent="0.2">
      <c r="M732" s="532"/>
      <c r="N732" s="532"/>
      <c r="O732" s="532"/>
      <c r="P732" s="90"/>
      <c r="Q732" s="532"/>
      <c r="R732" s="219"/>
      <c r="S732" s="532"/>
      <c r="T732" s="90"/>
      <c r="U732" s="532"/>
      <c r="V732" s="532"/>
      <c r="W732" s="532"/>
      <c r="X732" s="532"/>
      <c r="Y732" s="532"/>
      <c r="Z732" s="532"/>
      <c r="AA732" s="532"/>
      <c r="AB732" s="532"/>
      <c r="AC732" s="532"/>
      <c r="AD732" s="532"/>
      <c r="AE732" s="532"/>
      <c r="AF732" s="532"/>
      <c r="AG732" s="532"/>
      <c r="AH732" s="532"/>
      <c r="AI732" s="532"/>
      <c r="AJ732" s="532"/>
    </row>
    <row r="733" spans="13:36" ht="12.95" customHeight="1" x14ac:dyDescent="0.2">
      <c r="M733" s="532"/>
      <c r="N733" s="532"/>
      <c r="O733" s="532"/>
      <c r="P733" s="90"/>
      <c r="Q733" s="532"/>
      <c r="R733" s="219"/>
      <c r="S733" s="532"/>
      <c r="T733" s="90"/>
      <c r="U733" s="532"/>
      <c r="V733" s="532"/>
      <c r="W733" s="532"/>
      <c r="X733" s="532"/>
      <c r="Y733" s="532"/>
      <c r="Z733" s="532"/>
      <c r="AA733" s="532"/>
      <c r="AB733" s="532"/>
      <c r="AC733" s="532"/>
      <c r="AD733" s="532"/>
      <c r="AE733" s="532"/>
      <c r="AF733" s="532"/>
      <c r="AG733" s="532"/>
      <c r="AH733" s="532"/>
      <c r="AI733" s="532"/>
      <c r="AJ733" s="532"/>
    </row>
    <row r="734" spans="13:36" ht="12.95" customHeight="1" x14ac:dyDescent="0.2">
      <c r="M734" s="532"/>
      <c r="N734" s="532"/>
      <c r="O734" s="532"/>
      <c r="P734" s="90"/>
      <c r="Q734" s="532"/>
      <c r="R734" s="219"/>
      <c r="S734" s="532"/>
      <c r="T734" s="90"/>
      <c r="U734" s="532"/>
      <c r="V734" s="532"/>
      <c r="W734" s="532"/>
      <c r="X734" s="532"/>
      <c r="Y734" s="532"/>
      <c r="Z734" s="532"/>
      <c r="AA734" s="532"/>
      <c r="AB734" s="532"/>
      <c r="AC734" s="532"/>
      <c r="AD734" s="532"/>
      <c r="AE734" s="532"/>
      <c r="AF734" s="532"/>
      <c r="AG734" s="532"/>
      <c r="AH734" s="532"/>
      <c r="AI734" s="532"/>
      <c r="AJ734" s="532"/>
    </row>
    <row r="735" spans="13:36" ht="12.95" customHeight="1" x14ac:dyDescent="0.2">
      <c r="M735" s="532"/>
      <c r="N735" s="532"/>
      <c r="O735" s="532"/>
      <c r="P735" s="90"/>
      <c r="Q735" s="532"/>
      <c r="R735" s="219"/>
      <c r="S735" s="532"/>
      <c r="T735" s="90"/>
      <c r="U735" s="532"/>
      <c r="V735" s="532"/>
      <c r="W735" s="532"/>
      <c r="X735" s="532"/>
      <c r="Y735" s="532"/>
      <c r="Z735" s="532"/>
      <c r="AA735" s="532"/>
      <c r="AB735" s="532"/>
      <c r="AC735" s="532"/>
      <c r="AD735" s="532"/>
      <c r="AE735" s="532"/>
      <c r="AF735" s="532"/>
      <c r="AG735" s="532"/>
      <c r="AH735" s="532"/>
      <c r="AI735" s="532"/>
      <c r="AJ735" s="532"/>
    </row>
    <row r="736" spans="13:36" ht="12.95" customHeight="1" x14ac:dyDescent="0.2">
      <c r="M736" s="532"/>
      <c r="N736" s="532"/>
      <c r="O736" s="532"/>
      <c r="P736" s="90"/>
      <c r="Q736" s="532"/>
      <c r="R736" s="219"/>
      <c r="S736" s="532"/>
      <c r="T736" s="90"/>
      <c r="U736" s="532"/>
      <c r="V736" s="532"/>
      <c r="W736" s="532"/>
      <c r="X736" s="532"/>
      <c r="Y736" s="532"/>
      <c r="Z736" s="532"/>
      <c r="AA736" s="532"/>
      <c r="AB736" s="532"/>
      <c r="AC736" s="532"/>
      <c r="AD736" s="532"/>
      <c r="AE736" s="532"/>
      <c r="AF736" s="532"/>
      <c r="AG736" s="532"/>
      <c r="AH736" s="532"/>
      <c r="AI736" s="532"/>
      <c r="AJ736" s="532"/>
    </row>
    <row r="737" spans="13:36" ht="12.95" customHeight="1" x14ac:dyDescent="0.2">
      <c r="M737" s="532"/>
      <c r="N737" s="532"/>
      <c r="O737" s="532"/>
      <c r="P737" s="90"/>
      <c r="Q737" s="532"/>
      <c r="R737" s="219"/>
      <c r="S737" s="532"/>
      <c r="T737" s="90"/>
      <c r="U737" s="532"/>
      <c r="V737" s="532"/>
      <c r="W737" s="532"/>
      <c r="X737" s="532"/>
      <c r="Y737" s="532"/>
      <c r="Z737" s="532"/>
      <c r="AA737" s="532"/>
      <c r="AB737" s="532"/>
      <c r="AC737" s="532"/>
      <c r="AD737" s="532"/>
      <c r="AE737" s="532"/>
      <c r="AF737" s="532"/>
      <c r="AG737" s="532"/>
      <c r="AH737" s="532"/>
      <c r="AI737" s="532"/>
      <c r="AJ737" s="532"/>
    </row>
    <row r="738" spans="13:36" ht="12.95" customHeight="1" x14ac:dyDescent="0.2">
      <c r="M738" s="532"/>
      <c r="N738" s="532"/>
      <c r="O738" s="532"/>
      <c r="P738" s="90"/>
      <c r="Q738" s="532"/>
      <c r="R738" s="219"/>
      <c r="S738" s="532"/>
      <c r="T738" s="90"/>
      <c r="U738" s="532"/>
      <c r="V738" s="532"/>
      <c r="W738" s="532"/>
      <c r="X738" s="532"/>
      <c r="Y738" s="532"/>
      <c r="Z738" s="532"/>
      <c r="AA738" s="532"/>
      <c r="AB738" s="532"/>
      <c r="AC738" s="532"/>
      <c r="AD738" s="532"/>
      <c r="AE738" s="532"/>
      <c r="AF738" s="532"/>
      <c r="AG738" s="532"/>
      <c r="AH738" s="532"/>
      <c r="AI738" s="532"/>
      <c r="AJ738" s="532"/>
    </row>
    <row r="739" spans="13:36" ht="12.95" customHeight="1" x14ac:dyDescent="0.2">
      <c r="M739" s="532"/>
      <c r="N739" s="532"/>
      <c r="O739" s="532"/>
      <c r="P739" s="90"/>
      <c r="Q739" s="532"/>
      <c r="R739" s="219"/>
      <c r="S739" s="532"/>
      <c r="T739" s="90"/>
      <c r="U739" s="532"/>
      <c r="V739" s="532"/>
      <c r="W739" s="532"/>
      <c r="X739" s="532"/>
      <c r="Y739" s="532"/>
      <c r="Z739" s="532"/>
      <c r="AA739" s="532"/>
      <c r="AB739" s="532"/>
      <c r="AC739" s="532"/>
      <c r="AD739" s="532"/>
      <c r="AE739" s="532"/>
      <c r="AF739" s="532"/>
      <c r="AG739" s="532"/>
      <c r="AH739" s="532"/>
      <c r="AI739" s="532"/>
      <c r="AJ739" s="532"/>
    </row>
    <row r="740" spans="13:36" ht="12.95" customHeight="1" x14ac:dyDescent="0.2">
      <c r="M740" s="532"/>
      <c r="N740" s="532"/>
      <c r="O740" s="532"/>
      <c r="P740" s="90"/>
      <c r="Q740" s="532"/>
      <c r="R740" s="219"/>
      <c r="S740" s="532"/>
      <c r="T740" s="90"/>
      <c r="U740" s="532"/>
      <c r="V740" s="532"/>
      <c r="W740" s="532"/>
      <c r="X740" s="532"/>
      <c r="Y740" s="532"/>
      <c r="Z740" s="532"/>
      <c r="AA740" s="532"/>
      <c r="AB740" s="532"/>
      <c r="AC740" s="532"/>
      <c r="AD740" s="532"/>
      <c r="AE740" s="532"/>
      <c r="AF740" s="532"/>
      <c r="AG740" s="532"/>
      <c r="AH740" s="532"/>
      <c r="AI740" s="532"/>
      <c r="AJ740" s="532"/>
    </row>
    <row r="741" spans="13:36" ht="12.95" customHeight="1" x14ac:dyDescent="0.2">
      <c r="M741" s="532"/>
      <c r="N741" s="532"/>
      <c r="O741" s="532"/>
      <c r="P741" s="90"/>
      <c r="Q741" s="532"/>
      <c r="R741" s="219"/>
      <c r="S741" s="532"/>
      <c r="T741" s="90"/>
      <c r="U741" s="532"/>
      <c r="V741" s="532"/>
      <c r="W741" s="532"/>
      <c r="X741" s="532"/>
      <c r="Y741" s="532"/>
      <c r="Z741" s="532"/>
      <c r="AA741" s="532"/>
      <c r="AB741" s="532"/>
      <c r="AC741" s="532"/>
      <c r="AD741" s="532"/>
      <c r="AE741" s="532"/>
      <c r="AF741" s="532"/>
      <c r="AG741" s="532"/>
      <c r="AH741" s="532"/>
      <c r="AI741" s="532"/>
      <c r="AJ741" s="532"/>
    </row>
    <row r="742" spans="13:36" ht="12.95" customHeight="1" x14ac:dyDescent="0.2">
      <c r="M742" s="532"/>
      <c r="N742" s="532"/>
      <c r="O742" s="532"/>
      <c r="P742" s="90"/>
      <c r="Q742" s="532"/>
      <c r="R742" s="219"/>
      <c r="S742" s="532"/>
      <c r="T742" s="90"/>
      <c r="U742" s="532"/>
      <c r="V742" s="532"/>
      <c r="W742" s="532"/>
      <c r="X742" s="532"/>
      <c r="Y742" s="532"/>
      <c r="Z742" s="532"/>
      <c r="AA742" s="532"/>
      <c r="AB742" s="532"/>
      <c r="AC742" s="532"/>
      <c r="AD742" s="532"/>
      <c r="AE742" s="532"/>
      <c r="AF742" s="532"/>
      <c r="AG742" s="532"/>
      <c r="AH742" s="532"/>
      <c r="AI742" s="532"/>
      <c r="AJ742" s="532"/>
    </row>
    <row r="743" spans="13:36" ht="12.95" customHeight="1" x14ac:dyDescent="0.2">
      <c r="M743" s="532"/>
      <c r="N743" s="532"/>
      <c r="O743" s="532"/>
      <c r="P743" s="90"/>
      <c r="Q743" s="532"/>
      <c r="R743" s="219"/>
      <c r="S743" s="532"/>
      <c r="T743" s="90"/>
      <c r="U743" s="532"/>
      <c r="V743" s="532"/>
      <c r="W743" s="532"/>
      <c r="X743" s="532"/>
      <c r="Y743" s="532"/>
      <c r="Z743" s="532"/>
      <c r="AA743" s="532"/>
      <c r="AB743" s="532"/>
      <c r="AC743" s="532"/>
      <c r="AD743" s="532"/>
      <c r="AE743" s="532"/>
      <c r="AF743" s="532"/>
      <c r="AG743" s="532"/>
      <c r="AH743" s="532"/>
      <c r="AI743" s="532"/>
      <c r="AJ743" s="532"/>
    </row>
    <row r="744" spans="13:36" ht="12.95" customHeight="1" x14ac:dyDescent="0.2">
      <c r="M744" s="532"/>
      <c r="N744" s="532"/>
      <c r="O744" s="532"/>
      <c r="P744" s="90"/>
      <c r="Q744" s="532"/>
      <c r="R744" s="219"/>
      <c r="S744" s="532"/>
      <c r="T744" s="90"/>
      <c r="U744" s="532"/>
      <c r="V744" s="532"/>
      <c r="W744" s="532"/>
      <c r="X744" s="532"/>
      <c r="Y744" s="532"/>
      <c r="Z744" s="532"/>
      <c r="AA744" s="532"/>
      <c r="AB744" s="532"/>
      <c r="AC744" s="532"/>
      <c r="AD744" s="532"/>
      <c r="AE744" s="532"/>
      <c r="AF744" s="532"/>
      <c r="AG744" s="532"/>
      <c r="AH744" s="532"/>
      <c r="AI744" s="532"/>
      <c r="AJ744" s="532"/>
    </row>
    <row r="745" spans="13:36" ht="12.95" customHeight="1" x14ac:dyDescent="0.2">
      <c r="M745" s="532"/>
      <c r="N745" s="532"/>
      <c r="O745" s="532"/>
      <c r="P745" s="90"/>
      <c r="Q745" s="532"/>
      <c r="R745" s="219"/>
      <c r="S745" s="532"/>
      <c r="T745" s="90"/>
      <c r="U745" s="532"/>
      <c r="V745" s="532"/>
      <c r="W745" s="532"/>
      <c r="X745" s="532"/>
      <c r="Y745" s="532"/>
      <c r="Z745" s="532"/>
      <c r="AA745" s="532"/>
      <c r="AB745" s="532"/>
      <c r="AC745" s="532"/>
      <c r="AD745" s="532"/>
      <c r="AE745" s="532"/>
      <c r="AF745" s="532"/>
      <c r="AG745" s="532"/>
      <c r="AH745" s="532"/>
      <c r="AI745" s="532"/>
      <c r="AJ745" s="532"/>
    </row>
    <row r="746" spans="13:36" ht="12.95" customHeight="1" x14ac:dyDescent="0.2">
      <c r="M746" s="532"/>
      <c r="N746" s="532"/>
      <c r="O746" s="532"/>
      <c r="P746" s="90"/>
      <c r="Q746" s="532"/>
      <c r="R746" s="219"/>
      <c r="S746" s="532"/>
      <c r="T746" s="90"/>
      <c r="U746" s="532"/>
      <c r="V746" s="532"/>
      <c r="W746" s="532"/>
      <c r="X746" s="532"/>
      <c r="Y746" s="532"/>
      <c r="Z746" s="532"/>
      <c r="AA746" s="532"/>
      <c r="AB746" s="532"/>
      <c r="AC746" s="532"/>
      <c r="AD746" s="532"/>
      <c r="AE746" s="532"/>
      <c r="AF746" s="532"/>
      <c r="AG746" s="532"/>
      <c r="AH746" s="532"/>
      <c r="AI746" s="532"/>
      <c r="AJ746" s="532"/>
    </row>
    <row r="747" spans="13:36" ht="12.95" customHeight="1" x14ac:dyDescent="0.2">
      <c r="M747" s="532"/>
      <c r="N747" s="532"/>
      <c r="O747" s="532"/>
      <c r="P747" s="90"/>
      <c r="Q747" s="532"/>
      <c r="R747" s="219"/>
      <c r="S747" s="532"/>
      <c r="T747" s="90"/>
      <c r="U747" s="532"/>
      <c r="V747" s="532"/>
      <c r="W747" s="532"/>
      <c r="X747" s="532"/>
      <c r="Y747" s="532"/>
      <c r="Z747" s="532"/>
      <c r="AA747" s="532"/>
      <c r="AB747" s="532"/>
      <c r="AC747" s="532"/>
      <c r="AD747" s="532"/>
      <c r="AE747" s="532"/>
      <c r="AF747" s="532"/>
      <c r="AG747" s="532"/>
      <c r="AH747" s="532"/>
      <c r="AI747" s="532"/>
      <c r="AJ747" s="532"/>
    </row>
    <row r="748" spans="13:36" ht="12.95" customHeight="1" x14ac:dyDescent="0.2">
      <c r="M748" s="532"/>
      <c r="N748" s="532"/>
      <c r="O748" s="532"/>
      <c r="P748" s="90"/>
      <c r="Q748" s="532"/>
      <c r="R748" s="219"/>
      <c r="S748" s="532"/>
      <c r="T748" s="90"/>
      <c r="U748" s="532"/>
      <c r="V748" s="532"/>
      <c r="W748" s="532"/>
      <c r="X748" s="532"/>
      <c r="Y748" s="532"/>
      <c r="Z748" s="532"/>
      <c r="AA748" s="532"/>
      <c r="AB748" s="532"/>
      <c r="AC748" s="532"/>
      <c r="AD748" s="532"/>
      <c r="AE748" s="532"/>
      <c r="AF748" s="532"/>
      <c r="AG748" s="532"/>
      <c r="AH748" s="532"/>
      <c r="AI748" s="532"/>
      <c r="AJ748" s="532"/>
    </row>
    <row r="749" spans="13:36" ht="12.95" customHeight="1" x14ac:dyDescent="0.2">
      <c r="M749" s="532"/>
      <c r="N749" s="532"/>
      <c r="O749" s="532"/>
      <c r="P749" s="90"/>
      <c r="Q749" s="532"/>
      <c r="R749" s="219"/>
      <c r="S749" s="532"/>
      <c r="T749" s="90"/>
      <c r="U749" s="532"/>
      <c r="V749" s="532"/>
      <c r="W749" s="532"/>
      <c r="X749" s="532"/>
      <c r="Y749" s="532"/>
      <c r="Z749" s="532"/>
      <c r="AA749" s="532"/>
      <c r="AB749" s="532"/>
      <c r="AC749" s="532"/>
      <c r="AD749" s="532"/>
      <c r="AE749" s="532"/>
      <c r="AF749" s="532"/>
      <c r="AG749" s="532"/>
      <c r="AH749" s="532"/>
      <c r="AI749" s="532"/>
      <c r="AJ749" s="532"/>
    </row>
    <row r="750" spans="13:36" ht="12.95" customHeight="1" x14ac:dyDescent="0.2">
      <c r="M750" s="532"/>
      <c r="N750" s="532"/>
      <c r="O750" s="532"/>
      <c r="P750" s="90"/>
      <c r="Q750" s="532"/>
      <c r="R750" s="219"/>
      <c r="S750" s="532"/>
      <c r="T750" s="90"/>
      <c r="U750" s="532"/>
      <c r="V750" s="532"/>
      <c r="W750" s="532"/>
      <c r="X750" s="532"/>
      <c r="Y750" s="532"/>
      <c r="Z750" s="532"/>
      <c r="AA750" s="532"/>
      <c r="AB750" s="532"/>
      <c r="AC750" s="532"/>
      <c r="AD750" s="532"/>
      <c r="AE750" s="532"/>
      <c r="AF750" s="532"/>
      <c r="AG750" s="532"/>
      <c r="AH750" s="532"/>
      <c r="AI750" s="532"/>
      <c r="AJ750" s="532"/>
    </row>
    <row r="751" spans="13:36" ht="12.95" customHeight="1" x14ac:dyDescent="0.2">
      <c r="M751" s="532"/>
      <c r="N751" s="532"/>
      <c r="O751" s="532"/>
      <c r="P751" s="90"/>
      <c r="Q751" s="532"/>
      <c r="R751" s="219"/>
      <c r="S751" s="532"/>
      <c r="T751" s="90"/>
      <c r="U751" s="532"/>
      <c r="V751" s="532"/>
      <c r="W751" s="532"/>
      <c r="X751" s="532"/>
      <c r="Y751" s="532"/>
      <c r="Z751" s="532"/>
      <c r="AA751" s="532"/>
      <c r="AB751" s="532"/>
      <c r="AC751" s="532"/>
      <c r="AD751" s="532"/>
      <c r="AE751" s="532"/>
      <c r="AF751" s="532"/>
      <c r="AG751" s="532"/>
      <c r="AH751" s="532"/>
      <c r="AI751" s="532"/>
      <c r="AJ751" s="532"/>
    </row>
    <row r="752" spans="13:36" ht="12.95" customHeight="1" x14ac:dyDescent="0.2">
      <c r="M752" s="532"/>
      <c r="N752" s="532"/>
      <c r="O752" s="532"/>
      <c r="P752" s="90"/>
      <c r="Q752" s="532"/>
      <c r="R752" s="219"/>
      <c r="S752" s="532"/>
      <c r="T752" s="90"/>
      <c r="U752" s="532"/>
      <c r="V752" s="532"/>
      <c r="W752" s="532"/>
      <c r="X752" s="532"/>
      <c r="Y752" s="532"/>
      <c r="Z752" s="532"/>
      <c r="AA752" s="532"/>
      <c r="AB752" s="532"/>
      <c r="AC752" s="532"/>
      <c r="AD752" s="532"/>
      <c r="AE752" s="532"/>
      <c r="AF752" s="532"/>
      <c r="AG752" s="532"/>
      <c r="AH752" s="532"/>
      <c r="AI752" s="532"/>
      <c r="AJ752" s="532"/>
    </row>
    <row r="753" spans="13:36" ht="12.95" customHeight="1" x14ac:dyDescent="0.2">
      <c r="M753" s="532"/>
      <c r="N753" s="532"/>
      <c r="O753" s="532"/>
      <c r="P753" s="90"/>
      <c r="Q753" s="532"/>
      <c r="R753" s="219"/>
      <c r="S753" s="532"/>
      <c r="T753" s="90"/>
      <c r="U753" s="532"/>
      <c r="V753" s="532"/>
      <c r="W753" s="532"/>
      <c r="X753" s="532"/>
      <c r="Y753" s="532"/>
      <c r="Z753" s="532"/>
      <c r="AA753" s="532"/>
      <c r="AB753" s="532"/>
      <c r="AC753" s="532"/>
      <c r="AD753" s="532"/>
      <c r="AE753" s="532"/>
      <c r="AF753" s="532"/>
      <c r="AG753" s="532"/>
      <c r="AH753" s="532"/>
      <c r="AI753" s="532"/>
      <c r="AJ753" s="532"/>
    </row>
    <row r="754" spans="13:36" ht="12.95" customHeight="1" x14ac:dyDescent="0.2">
      <c r="M754" s="532"/>
      <c r="N754" s="532"/>
      <c r="O754" s="532"/>
      <c r="P754" s="90"/>
      <c r="Q754" s="532"/>
      <c r="R754" s="219"/>
      <c r="S754" s="532"/>
      <c r="T754" s="90"/>
      <c r="U754" s="532"/>
      <c r="V754" s="532"/>
      <c r="W754" s="532"/>
      <c r="X754" s="532"/>
      <c r="Y754" s="532"/>
      <c r="Z754" s="532"/>
      <c r="AA754" s="532"/>
      <c r="AB754" s="532"/>
      <c r="AC754" s="532"/>
      <c r="AD754" s="532"/>
      <c r="AE754" s="532"/>
      <c r="AF754" s="532"/>
      <c r="AG754" s="532"/>
      <c r="AH754" s="532"/>
      <c r="AI754" s="532"/>
      <c r="AJ754" s="532"/>
    </row>
    <row r="755" spans="13:36" ht="12.95" customHeight="1" x14ac:dyDescent="0.2">
      <c r="M755" s="532"/>
      <c r="N755" s="532"/>
      <c r="O755" s="532"/>
      <c r="P755" s="90"/>
      <c r="Q755" s="532"/>
      <c r="R755" s="219"/>
      <c r="S755" s="532"/>
      <c r="T755" s="90"/>
      <c r="U755" s="532"/>
      <c r="V755" s="532"/>
      <c r="W755" s="532"/>
      <c r="X755" s="532"/>
      <c r="Y755" s="532"/>
      <c r="Z755" s="532"/>
      <c r="AA755" s="532"/>
      <c r="AB755" s="532"/>
      <c r="AC755" s="532"/>
      <c r="AD755" s="532"/>
      <c r="AE755" s="532"/>
      <c r="AF755" s="532"/>
      <c r="AG755" s="532"/>
      <c r="AH755" s="532"/>
      <c r="AI755" s="532"/>
      <c r="AJ755" s="532"/>
    </row>
    <row r="756" spans="13:36" ht="12.95" customHeight="1" x14ac:dyDescent="0.2">
      <c r="M756" s="532"/>
      <c r="N756" s="532"/>
      <c r="O756" s="532"/>
      <c r="P756" s="90"/>
      <c r="Q756" s="532"/>
      <c r="R756" s="219"/>
      <c r="S756" s="532"/>
      <c r="T756" s="90"/>
      <c r="U756" s="532"/>
      <c r="V756" s="532"/>
      <c r="W756" s="532"/>
      <c r="X756" s="532"/>
      <c r="Y756" s="532"/>
      <c r="Z756" s="532"/>
      <c r="AA756" s="532"/>
      <c r="AB756" s="532"/>
      <c r="AC756" s="532"/>
      <c r="AD756" s="532"/>
      <c r="AE756" s="532"/>
      <c r="AF756" s="532"/>
      <c r="AG756" s="532"/>
      <c r="AH756" s="532"/>
      <c r="AI756" s="532"/>
      <c r="AJ756" s="532"/>
    </row>
    <row r="757" spans="13:36" ht="12.95" customHeight="1" x14ac:dyDescent="0.2">
      <c r="M757" s="532"/>
      <c r="N757" s="532"/>
      <c r="O757" s="532"/>
      <c r="P757" s="90"/>
      <c r="Q757" s="532"/>
      <c r="R757" s="219"/>
      <c r="S757" s="532"/>
      <c r="T757" s="90"/>
      <c r="U757" s="532"/>
      <c r="V757" s="532"/>
      <c r="W757" s="532"/>
      <c r="X757" s="532"/>
      <c r="Y757" s="532"/>
      <c r="Z757" s="532"/>
      <c r="AA757" s="532"/>
      <c r="AB757" s="532"/>
      <c r="AC757" s="532"/>
      <c r="AD757" s="532"/>
      <c r="AE757" s="532"/>
      <c r="AF757" s="532"/>
      <c r="AG757" s="532"/>
      <c r="AH757" s="532"/>
      <c r="AI757" s="532"/>
      <c r="AJ757" s="532"/>
    </row>
    <row r="758" spans="13:36" ht="12.95" customHeight="1" x14ac:dyDescent="0.2">
      <c r="M758" s="532"/>
      <c r="N758" s="532"/>
      <c r="O758" s="532"/>
      <c r="P758" s="90"/>
      <c r="Q758" s="532"/>
      <c r="R758" s="219"/>
      <c r="S758" s="532"/>
      <c r="T758" s="90"/>
      <c r="U758" s="532"/>
      <c r="V758" s="532"/>
      <c r="W758" s="532"/>
      <c r="X758" s="532"/>
      <c r="Y758" s="532"/>
      <c r="Z758" s="532"/>
      <c r="AA758" s="532"/>
      <c r="AB758" s="532"/>
      <c r="AC758" s="532"/>
      <c r="AD758" s="532"/>
      <c r="AE758" s="532"/>
      <c r="AF758" s="532"/>
      <c r="AG758" s="532"/>
      <c r="AH758" s="532"/>
      <c r="AI758" s="532"/>
      <c r="AJ758" s="532"/>
    </row>
    <row r="759" spans="13:36" ht="12.95" customHeight="1" x14ac:dyDescent="0.2">
      <c r="M759" s="532"/>
      <c r="N759" s="532"/>
      <c r="O759" s="532"/>
      <c r="P759" s="90"/>
      <c r="Q759" s="532"/>
      <c r="R759" s="219"/>
      <c r="S759" s="532"/>
      <c r="T759" s="90"/>
      <c r="U759" s="532"/>
      <c r="V759" s="532"/>
      <c r="W759" s="532"/>
      <c r="X759" s="532"/>
      <c r="Y759" s="532"/>
      <c r="Z759" s="532"/>
      <c r="AA759" s="532"/>
      <c r="AB759" s="532"/>
      <c r="AC759" s="532"/>
      <c r="AD759" s="532"/>
      <c r="AE759" s="532"/>
      <c r="AF759" s="532"/>
      <c r="AG759" s="532"/>
      <c r="AH759" s="532"/>
      <c r="AI759" s="532"/>
      <c r="AJ759" s="532"/>
    </row>
    <row r="760" spans="13:36" ht="12.95" customHeight="1" x14ac:dyDescent="0.2">
      <c r="M760" s="532"/>
      <c r="N760" s="532"/>
      <c r="O760" s="532"/>
      <c r="P760" s="90"/>
      <c r="Q760" s="532"/>
      <c r="R760" s="219"/>
      <c r="S760" s="532"/>
      <c r="T760" s="90"/>
      <c r="U760" s="532"/>
      <c r="V760" s="532"/>
      <c r="W760" s="532"/>
      <c r="X760" s="532"/>
      <c r="Y760" s="532"/>
      <c r="Z760" s="532"/>
      <c r="AA760" s="532"/>
      <c r="AB760" s="532"/>
      <c r="AC760" s="532"/>
      <c r="AD760" s="532"/>
      <c r="AE760" s="532"/>
      <c r="AF760" s="532"/>
      <c r="AG760" s="532"/>
      <c r="AH760" s="532"/>
      <c r="AI760" s="532"/>
      <c r="AJ760" s="532"/>
    </row>
    <row r="761" spans="13:36" ht="12.95" customHeight="1" x14ac:dyDescent="0.2">
      <c r="M761" s="532"/>
      <c r="N761" s="532"/>
      <c r="O761" s="532"/>
      <c r="P761" s="90"/>
      <c r="Q761" s="532"/>
      <c r="R761" s="219"/>
      <c r="S761" s="532"/>
      <c r="T761" s="90"/>
      <c r="U761" s="532"/>
      <c r="V761" s="532"/>
      <c r="W761" s="532"/>
      <c r="X761" s="532"/>
      <c r="Y761" s="532"/>
      <c r="Z761" s="532"/>
      <c r="AA761" s="532"/>
      <c r="AB761" s="532"/>
      <c r="AC761" s="532"/>
      <c r="AD761" s="532"/>
      <c r="AE761" s="532"/>
      <c r="AF761" s="532"/>
      <c r="AG761" s="532"/>
      <c r="AH761" s="532"/>
      <c r="AI761" s="532"/>
      <c r="AJ761" s="532"/>
    </row>
    <row r="762" spans="13:36" ht="12.95" customHeight="1" x14ac:dyDescent="0.2">
      <c r="M762" s="532"/>
      <c r="N762" s="532"/>
      <c r="O762" s="532"/>
      <c r="P762" s="90"/>
      <c r="Q762" s="532"/>
      <c r="R762" s="219"/>
      <c r="S762" s="532"/>
      <c r="T762" s="90"/>
      <c r="U762" s="532"/>
      <c r="V762" s="532"/>
      <c r="W762" s="532"/>
      <c r="X762" s="532"/>
      <c r="Y762" s="532"/>
      <c r="Z762" s="532"/>
      <c r="AA762" s="532"/>
      <c r="AB762" s="532"/>
      <c r="AC762" s="532"/>
      <c r="AD762" s="532"/>
      <c r="AE762" s="532"/>
      <c r="AF762" s="532"/>
      <c r="AG762" s="532"/>
      <c r="AH762" s="532"/>
      <c r="AI762" s="532"/>
      <c r="AJ762" s="532"/>
    </row>
    <row r="763" spans="13:36" ht="12.95" customHeight="1" x14ac:dyDescent="0.2">
      <c r="M763" s="532"/>
      <c r="N763" s="532"/>
      <c r="O763" s="532"/>
      <c r="P763" s="90"/>
      <c r="Q763" s="532"/>
      <c r="R763" s="219"/>
      <c r="S763" s="532"/>
      <c r="T763" s="90"/>
      <c r="U763" s="532"/>
      <c r="V763" s="532"/>
      <c r="W763" s="532"/>
      <c r="X763" s="532"/>
      <c r="Y763" s="532"/>
      <c r="Z763" s="532"/>
      <c r="AA763" s="532"/>
      <c r="AB763" s="532"/>
      <c r="AC763" s="532"/>
      <c r="AD763" s="532"/>
      <c r="AE763" s="532"/>
      <c r="AF763" s="532"/>
      <c r="AG763" s="532"/>
      <c r="AH763" s="532"/>
      <c r="AI763" s="532"/>
      <c r="AJ763" s="532"/>
    </row>
    <row r="764" spans="13:36" ht="12.95" customHeight="1" x14ac:dyDescent="0.2">
      <c r="M764" s="532"/>
      <c r="N764" s="532"/>
      <c r="O764" s="532"/>
      <c r="P764" s="90"/>
      <c r="Q764" s="532"/>
      <c r="R764" s="219"/>
      <c r="S764" s="532"/>
      <c r="T764" s="90"/>
      <c r="U764" s="532"/>
      <c r="V764" s="532"/>
      <c r="W764" s="532"/>
      <c r="X764" s="532"/>
      <c r="Y764" s="532"/>
      <c r="Z764" s="532"/>
      <c r="AA764" s="532"/>
      <c r="AB764" s="532"/>
      <c r="AC764" s="532"/>
      <c r="AD764" s="532"/>
      <c r="AE764" s="532"/>
      <c r="AF764" s="532"/>
      <c r="AG764" s="532"/>
      <c r="AH764" s="532"/>
      <c r="AI764" s="532"/>
      <c r="AJ764" s="532"/>
    </row>
    <row r="765" spans="13:36" ht="12.95" customHeight="1" x14ac:dyDescent="0.2">
      <c r="M765" s="532"/>
      <c r="N765" s="532"/>
      <c r="O765" s="532"/>
      <c r="P765" s="90"/>
      <c r="Q765" s="532"/>
      <c r="R765" s="219"/>
      <c r="S765" s="532"/>
      <c r="T765" s="90"/>
      <c r="U765" s="532"/>
      <c r="V765" s="532"/>
      <c r="W765" s="532"/>
      <c r="X765" s="532"/>
      <c r="Y765" s="532"/>
      <c r="Z765" s="532"/>
      <c r="AA765" s="532"/>
      <c r="AB765" s="532"/>
      <c r="AC765" s="532"/>
      <c r="AD765" s="532"/>
      <c r="AE765" s="532"/>
      <c r="AF765" s="532"/>
      <c r="AG765" s="532"/>
      <c r="AH765" s="532"/>
      <c r="AI765" s="532"/>
      <c r="AJ765" s="532"/>
    </row>
    <row r="766" spans="13:36" ht="12.95" customHeight="1" x14ac:dyDescent="0.2">
      <c r="M766" s="532"/>
      <c r="N766" s="532"/>
      <c r="O766" s="532"/>
      <c r="P766" s="90"/>
      <c r="Q766" s="532"/>
      <c r="R766" s="219"/>
      <c r="S766" s="532"/>
      <c r="T766" s="90"/>
      <c r="U766" s="532"/>
      <c r="V766" s="532"/>
      <c r="W766" s="532"/>
      <c r="X766" s="532"/>
      <c r="Y766" s="532"/>
      <c r="Z766" s="532"/>
      <c r="AA766" s="532"/>
      <c r="AB766" s="532"/>
      <c r="AC766" s="532"/>
      <c r="AD766" s="532"/>
      <c r="AE766" s="532"/>
      <c r="AF766" s="532"/>
      <c r="AG766" s="532"/>
      <c r="AH766" s="532"/>
      <c r="AI766" s="532"/>
      <c r="AJ766" s="532"/>
    </row>
    <row r="767" spans="13:36" ht="12.95" customHeight="1" x14ac:dyDescent="0.2">
      <c r="M767" s="532"/>
      <c r="N767" s="532"/>
      <c r="O767" s="532"/>
      <c r="P767" s="90"/>
      <c r="Q767" s="532"/>
      <c r="R767" s="219"/>
      <c r="S767" s="532"/>
      <c r="T767" s="90"/>
      <c r="U767" s="532"/>
      <c r="V767" s="532"/>
      <c r="W767" s="532"/>
      <c r="X767" s="532"/>
      <c r="Y767" s="532"/>
      <c r="Z767" s="532"/>
      <c r="AA767" s="532"/>
      <c r="AB767" s="532"/>
      <c r="AC767" s="532"/>
      <c r="AD767" s="532"/>
      <c r="AE767" s="532"/>
      <c r="AF767" s="532"/>
      <c r="AG767" s="532"/>
      <c r="AH767" s="532"/>
      <c r="AI767" s="532"/>
      <c r="AJ767" s="532"/>
    </row>
    <row r="768" spans="13:36" ht="12.95" customHeight="1" x14ac:dyDescent="0.2">
      <c r="M768" s="532"/>
      <c r="N768" s="532"/>
      <c r="O768" s="532"/>
      <c r="P768" s="90"/>
      <c r="Q768" s="532"/>
      <c r="R768" s="219"/>
      <c r="S768" s="532"/>
      <c r="T768" s="90"/>
      <c r="U768" s="532"/>
      <c r="V768" s="532"/>
      <c r="W768" s="532"/>
      <c r="X768" s="532"/>
      <c r="Y768" s="532"/>
      <c r="Z768" s="532"/>
      <c r="AA768" s="532"/>
      <c r="AB768" s="532"/>
      <c r="AC768" s="532"/>
      <c r="AD768" s="532"/>
      <c r="AE768" s="532"/>
      <c r="AF768" s="532"/>
      <c r="AG768" s="532"/>
      <c r="AH768" s="532"/>
      <c r="AI768" s="532"/>
      <c r="AJ768" s="532"/>
    </row>
    <row r="769" spans="13:36" ht="12.95" customHeight="1" x14ac:dyDescent="0.2">
      <c r="M769" s="532"/>
      <c r="N769" s="532"/>
      <c r="O769" s="532"/>
      <c r="P769" s="90"/>
      <c r="Q769" s="532"/>
      <c r="R769" s="219"/>
      <c r="S769" s="532"/>
      <c r="T769" s="90"/>
      <c r="U769" s="532"/>
      <c r="V769" s="532"/>
      <c r="W769" s="532"/>
      <c r="X769" s="532"/>
      <c r="Y769" s="532"/>
      <c r="Z769" s="532"/>
      <c r="AA769" s="532"/>
      <c r="AB769" s="532"/>
      <c r="AC769" s="532"/>
      <c r="AD769" s="532"/>
      <c r="AE769" s="532"/>
      <c r="AF769" s="532"/>
      <c r="AG769" s="532"/>
      <c r="AH769" s="532"/>
      <c r="AI769" s="532"/>
      <c r="AJ769" s="532"/>
    </row>
    <row r="770" spans="13:36" ht="12.95" customHeight="1" x14ac:dyDescent="0.2">
      <c r="M770" s="532"/>
      <c r="N770" s="532"/>
      <c r="O770" s="532"/>
      <c r="P770" s="90"/>
      <c r="Q770" s="532"/>
      <c r="R770" s="219"/>
      <c r="S770" s="532"/>
      <c r="T770" s="90"/>
      <c r="U770" s="532"/>
      <c r="V770" s="532"/>
      <c r="W770" s="532"/>
      <c r="X770" s="532"/>
      <c r="Y770" s="532"/>
      <c r="Z770" s="532"/>
      <c r="AA770" s="532"/>
      <c r="AB770" s="532"/>
      <c r="AC770" s="532"/>
      <c r="AD770" s="532"/>
      <c r="AE770" s="532"/>
      <c r="AF770" s="532"/>
      <c r="AG770" s="532"/>
      <c r="AH770" s="532"/>
      <c r="AI770" s="532"/>
      <c r="AJ770" s="532"/>
    </row>
    <row r="771" spans="13:36" ht="12.95" customHeight="1" x14ac:dyDescent="0.2">
      <c r="M771" s="532"/>
      <c r="N771" s="532"/>
      <c r="O771" s="532"/>
      <c r="P771" s="90"/>
      <c r="Q771" s="532"/>
      <c r="R771" s="219"/>
      <c r="S771" s="532"/>
      <c r="T771" s="90"/>
      <c r="U771" s="532"/>
      <c r="V771" s="532"/>
      <c r="W771" s="532"/>
      <c r="X771" s="532"/>
      <c r="Y771" s="532"/>
      <c r="Z771" s="532"/>
      <c r="AA771" s="532"/>
      <c r="AB771" s="532"/>
      <c r="AC771" s="532"/>
      <c r="AD771" s="532"/>
      <c r="AE771" s="532"/>
      <c r="AF771" s="532"/>
      <c r="AG771" s="532"/>
      <c r="AH771" s="532"/>
      <c r="AI771" s="532"/>
      <c r="AJ771" s="532"/>
    </row>
    <row r="772" spans="13:36" ht="12.95" customHeight="1" x14ac:dyDescent="0.2">
      <c r="M772" s="532"/>
      <c r="N772" s="532"/>
      <c r="O772" s="532"/>
      <c r="P772" s="90"/>
      <c r="Q772" s="532"/>
      <c r="R772" s="219"/>
      <c r="S772" s="532"/>
      <c r="T772" s="90"/>
      <c r="U772" s="532"/>
      <c r="V772" s="532"/>
      <c r="W772" s="532"/>
      <c r="X772" s="532"/>
      <c r="Y772" s="532"/>
      <c r="Z772" s="532"/>
      <c r="AA772" s="532"/>
      <c r="AB772" s="532"/>
      <c r="AC772" s="532"/>
      <c r="AD772" s="532"/>
      <c r="AE772" s="532"/>
      <c r="AF772" s="532"/>
      <c r="AG772" s="532"/>
      <c r="AH772" s="532"/>
      <c r="AI772" s="532"/>
      <c r="AJ772" s="532"/>
    </row>
    <row r="773" spans="13:36" ht="12.95" customHeight="1" x14ac:dyDescent="0.2">
      <c r="M773" s="532"/>
      <c r="N773" s="532"/>
      <c r="O773" s="532"/>
      <c r="P773" s="90"/>
      <c r="Q773" s="532"/>
      <c r="R773" s="219"/>
      <c r="S773" s="532"/>
      <c r="T773" s="90"/>
      <c r="U773" s="532"/>
      <c r="V773" s="532"/>
      <c r="W773" s="532"/>
      <c r="X773" s="532"/>
      <c r="Y773" s="532"/>
      <c r="Z773" s="532"/>
      <c r="AA773" s="532"/>
      <c r="AB773" s="532"/>
      <c r="AC773" s="532"/>
      <c r="AD773" s="532"/>
      <c r="AE773" s="532"/>
      <c r="AF773" s="532"/>
      <c r="AG773" s="532"/>
      <c r="AH773" s="532"/>
      <c r="AI773" s="532"/>
      <c r="AJ773" s="532"/>
    </row>
    <row r="774" spans="13:36" ht="12.95" customHeight="1" x14ac:dyDescent="0.2">
      <c r="M774" s="532"/>
      <c r="N774" s="532"/>
      <c r="O774" s="532"/>
      <c r="P774" s="90"/>
      <c r="Q774" s="532"/>
      <c r="R774" s="219"/>
      <c r="S774" s="532"/>
      <c r="T774" s="90"/>
      <c r="U774" s="532"/>
      <c r="V774" s="532"/>
      <c r="W774" s="532"/>
      <c r="X774" s="532"/>
      <c r="Y774" s="532"/>
      <c r="Z774" s="532"/>
      <c r="AA774" s="532"/>
      <c r="AB774" s="532"/>
      <c r="AC774" s="532"/>
      <c r="AD774" s="532"/>
      <c r="AE774" s="532"/>
      <c r="AF774" s="532"/>
      <c r="AG774" s="532"/>
      <c r="AH774" s="532"/>
      <c r="AI774" s="532"/>
      <c r="AJ774" s="532"/>
    </row>
    <row r="775" spans="13:36" ht="12.95" customHeight="1" x14ac:dyDescent="0.2">
      <c r="M775" s="532"/>
      <c r="N775" s="532"/>
      <c r="O775" s="532"/>
      <c r="P775" s="90"/>
      <c r="Q775" s="532"/>
      <c r="R775" s="219"/>
      <c r="S775" s="532"/>
      <c r="T775" s="90"/>
      <c r="U775" s="532"/>
      <c r="V775" s="532"/>
      <c r="W775" s="532"/>
      <c r="X775" s="532"/>
      <c r="Y775" s="532"/>
      <c r="Z775" s="532"/>
      <c r="AA775" s="532"/>
      <c r="AB775" s="532"/>
      <c r="AC775" s="532"/>
      <c r="AD775" s="532"/>
      <c r="AE775" s="532"/>
      <c r="AF775" s="532"/>
      <c r="AG775" s="532"/>
      <c r="AH775" s="532"/>
      <c r="AI775" s="532"/>
      <c r="AJ775" s="532"/>
    </row>
    <row r="776" spans="13:36" ht="12.95" customHeight="1" x14ac:dyDescent="0.2">
      <c r="M776" s="532"/>
      <c r="N776" s="532"/>
      <c r="O776" s="532"/>
      <c r="P776" s="90"/>
      <c r="Q776" s="532"/>
      <c r="R776" s="219"/>
      <c r="S776" s="532"/>
      <c r="T776" s="90"/>
      <c r="U776" s="532"/>
      <c r="V776" s="532"/>
      <c r="W776" s="532"/>
      <c r="X776" s="532"/>
      <c r="Y776" s="532"/>
      <c r="Z776" s="532"/>
      <c r="AA776" s="532"/>
      <c r="AB776" s="532"/>
      <c r="AC776" s="532"/>
      <c r="AD776" s="532"/>
      <c r="AE776" s="532"/>
      <c r="AF776" s="532"/>
      <c r="AG776" s="532"/>
      <c r="AH776" s="532"/>
      <c r="AI776" s="532"/>
      <c r="AJ776" s="532"/>
    </row>
    <row r="777" spans="13:36" ht="12.95" customHeight="1" x14ac:dyDescent="0.2">
      <c r="M777" s="532"/>
      <c r="N777" s="532"/>
      <c r="O777" s="532"/>
      <c r="P777" s="90"/>
      <c r="Q777" s="532"/>
      <c r="R777" s="219"/>
      <c r="S777" s="532"/>
      <c r="T777" s="90"/>
      <c r="U777" s="532"/>
      <c r="V777" s="532"/>
      <c r="W777" s="532"/>
      <c r="X777" s="532"/>
      <c r="Y777" s="532"/>
      <c r="Z777" s="532"/>
      <c r="AA777" s="532"/>
      <c r="AB777" s="532"/>
      <c r="AC777" s="532"/>
      <c r="AD777" s="532"/>
      <c r="AE777" s="532"/>
      <c r="AF777" s="532"/>
      <c r="AG777" s="532"/>
      <c r="AH777" s="532"/>
      <c r="AI777" s="532"/>
      <c r="AJ777" s="532"/>
    </row>
    <row r="778" spans="13:36" ht="12.95" customHeight="1" x14ac:dyDescent="0.2">
      <c r="M778" s="532"/>
      <c r="N778" s="532"/>
      <c r="O778" s="532"/>
      <c r="P778" s="90"/>
      <c r="Q778" s="532"/>
      <c r="R778" s="219"/>
      <c r="S778" s="532"/>
      <c r="T778" s="90"/>
      <c r="U778" s="532"/>
      <c r="V778" s="532"/>
      <c r="W778" s="532"/>
      <c r="X778" s="532"/>
      <c r="Y778" s="532"/>
      <c r="Z778" s="532"/>
      <c r="AA778" s="532"/>
      <c r="AB778" s="532"/>
      <c r="AC778" s="532"/>
      <c r="AD778" s="532"/>
      <c r="AE778" s="532"/>
      <c r="AF778" s="532"/>
      <c r="AG778" s="532"/>
      <c r="AH778" s="532"/>
      <c r="AI778" s="532"/>
      <c r="AJ778" s="532"/>
    </row>
    <row r="779" spans="13:36" ht="12.95" customHeight="1" x14ac:dyDescent="0.2">
      <c r="M779" s="532"/>
      <c r="N779" s="532"/>
      <c r="O779" s="532"/>
      <c r="P779" s="90"/>
      <c r="Q779" s="532"/>
      <c r="R779" s="219"/>
      <c r="S779" s="532"/>
      <c r="T779" s="90"/>
      <c r="U779" s="532"/>
      <c r="V779" s="532"/>
      <c r="W779" s="532"/>
      <c r="X779" s="532"/>
      <c r="Y779" s="532"/>
      <c r="Z779" s="532"/>
      <c r="AA779" s="532"/>
      <c r="AB779" s="532"/>
      <c r="AC779" s="532"/>
      <c r="AD779" s="532"/>
      <c r="AE779" s="532"/>
      <c r="AF779" s="532"/>
      <c r="AG779" s="532"/>
      <c r="AH779" s="532"/>
      <c r="AI779" s="532"/>
      <c r="AJ779" s="532"/>
    </row>
    <row r="780" spans="13:36" ht="12.95" customHeight="1" x14ac:dyDescent="0.2">
      <c r="M780" s="532"/>
      <c r="N780" s="532"/>
      <c r="O780" s="532"/>
      <c r="P780" s="90"/>
      <c r="Q780" s="532"/>
      <c r="R780" s="219"/>
      <c r="S780" s="532"/>
      <c r="T780" s="90"/>
      <c r="U780" s="532"/>
      <c r="V780" s="532"/>
      <c r="W780" s="532"/>
      <c r="X780" s="532"/>
      <c r="Y780" s="532"/>
      <c r="Z780" s="532"/>
      <c r="AA780" s="532"/>
      <c r="AB780" s="532"/>
      <c r="AC780" s="532"/>
      <c r="AD780" s="532"/>
      <c r="AE780" s="532"/>
      <c r="AF780" s="532"/>
      <c r="AG780" s="532"/>
      <c r="AH780" s="532"/>
      <c r="AI780" s="532"/>
      <c r="AJ780" s="532"/>
    </row>
    <row r="781" spans="13:36" ht="12.95" customHeight="1" x14ac:dyDescent="0.2">
      <c r="M781" s="532"/>
      <c r="N781" s="532"/>
      <c r="O781" s="532"/>
      <c r="P781" s="90"/>
      <c r="Q781" s="532"/>
      <c r="R781" s="219"/>
      <c r="S781" s="532"/>
      <c r="T781" s="90"/>
      <c r="U781" s="532"/>
      <c r="V781" s="532"/>
      <c r="W781" s="532"/>
      <c r="X781" s="532"/>
      <c r="Y781" s="532"/>
      <c r="Z781" s="532"/>
      <c r="AA781" s="532"/>
      <c r="AB781" s="532"/>
      <c r="AC781" s="532"/>
      <c r="AD781" s="532"/>
      <c r="AE781" s="532"/>
      <c r="AF781" s="532"/>
      <c r="AG781" s="532"/>
      <c r="AH781" s="532"/>
      <c r="AI781" s="532"/>
      <c r="AJ781" s="532"/>
    </row>
    <row r="782" spans="13:36" ht="12.95" customHeight="1" x14ac:dyDescent="0.2">
      <c r="M782" s="532"/>
      <c r="N782" s="532"/>
      <c r="O782" s="532"/>
      <c r="P782" s="90"/>
      <c r="Q782" s="532"/>
      <c r="R782" s="219"/>
      <c r="S782" s="532"/>
      <c r="T782" s="90"/>
      <c r="U782" s="532"/>
      <c r="V782" s="532"/>
      <c r="W782" s="532"/>
      <c r="X782" s="532"/>
      <c r="Y782" s="532"/>
      <c r="Z782" s="532"/>
      <c r="AA782" s="532"/>
      <c r="AB782" s="532"/>
      <c r="AC782" s="532"/>
      <c r="AD782" s="532"/>
      <c r="AE782" s="532"/>
      <c r="AF782" s="532"/>
      <c r="AG782" s="532"/>
      <c r="AH782" s="532"/>
      <c r="AI782" s="532"/>
      <c r="AJ782" s="532"/>
    </row>
    <row r="783" spans="13:36" ht="12.95" customHeight="1" x14ac:dyDescent="0.2">
      <c r="M783" s="532"/>
      <c r="N783" s="532"/>
      <c r="O783" s="532"/>
      <c r="P783" s="90"/>
      <c r="Q783" s="532"/>
      <c r="R783" s="219"/>
      <c r="S783" s="532"/>
      <c r="T783" s="90"/>
      <c r="U783" s="532"/>
      <c r="V783" s="532"/>
      <c r="W783" s="532"/>
      <c r="X783" s="532"/>
      <c r="Y783" s="532"/>
      <c r="Z783" s="532"/>
      <c r="AA783" s="532"/>
      <c r="AB783" s="532"/>
      <c r="AC783" s="532"/>
      <c r="AD783" s="532"/>
      <c r="AE783" s="532"/>
      <c r="AF783" s="532"/>
      <c r="AG783" s="532"/>
      <c r="AH783" s="532"/>
      <c r="AI783" s="532"/>
      <c r="AJ783" s="532"/>
    </row>
    <row r="784" spans="13:36" ht="12.95" customHeight="1" x14ac:dyDescent="0.2">
      <c r="M784" s="532"/>
      <c r="N784" s="532"/>
      <c r="O784" s="532"/>
      <c r="P784" s="90"/>
      <c r="Q784" s="532"/>
      <c r="R784" s="219"/>
      <c r="S784" s="532"/>
      <c r="T784" s="90"/>
      <c r="U784" s="532"/>
      <c r="V784" s="532"/>
      <c r="W784" s="532"/>
      <c r="X784" s="532"/>
      <c r="Y784" s="532"/>
      <c r="Z784" s="532"/>
      <c r="AA784" s="532"/>
      <c r="AB784" s="532"/>
      <c r="AC784" s="532"/>
      <c r="AD784" s="532"/>
      <c r="AE784" s="532"/>
      <c r="AF784" s="532"/>
      <c r="AG784" s="532"/>
      <c r="AH784" s="532"/>
      <c r="AI784" s="532"/>
      <c r="AJ784" s="532"/>
    </row>
    <row r="785" spans="13:36" ht="12.95" customHeight="1" x14ac:dyDescent="0.2">
      <c r="M785" s="532"/>
      <c r="N785" s="532"/>
      <c r="O785" s="532"/>
      <c r="P785" s="90"/>
      <c r="Q785" s="532"/>
      <c r="R785" s="219"/>
      <c r="S785" s="532"/>
      <c r="T785" s="90"/>
      <c r="U785" s="532"/>
      <c r="V785" s="532"/>
      <c r="W785" s="532"/>
      <c r="X785" s="532"/>
      <c r="Y785" s="532"/>
      <c r="Z785" s="532"/>
      <c r="AA785" s="532"/>
      <c r="AB785" s="532"/>
      <c r="AC785" s="532"/>
      <c r="AD785" s="532"/>
      <c r="AE785" s="532"/>
      <c r="AF785" s="532"/>
      <c r="AG785" s="532"/>
      <c r="AH785" s="532"/>
      <c r="AI785" s="532"/>
      <c r="AJ785" s="532"/>
    </row>
    <row r="786" spans="13:36" ht="12.95" customHeight="1" x14ac:dyDescent="0.2">
      <c r="M786" s="532"/>
      <c r="N786" s="532"/>
      <c r="O786" s="532"/>
      <c r="P786" s="90"/>
      <c r="Q786" s="532"/>
      <c r="R786" s="219"/>
      <c r="S786" s="532"/>
      <c r="T786" s="90"/>
      <c r="U786" s="532"/>
      <c r="V786" s="532"/>
      <c r="W786" s="532"/>
      <c r="X786" s="532"/>
      <c r="Y786" s="532"/>
      <c r="Z786" s="532"/>
      <c r="AA786" s="532"/>
      <c r="AB786" s="532"/>
      <c r="AC786" s="532"/>
      <c r="AD786" s="532"/>
      <c r="AE786" s="532"/>
      <c r="AF786" s="532"/>
      <c r="AG786" s="532"/>
      <c r="AH786" s="532"/>
      <c r="AI786" s="532"/>
      <c r="AJ786" s="532"/>
    </row>
    <row r="787" spans="13:36" ht="12.95" customHeight="1" x14ac:dyDescent="0.2">
      <c r="M787" s="532"/>
      <c r="N787" s="532"/>
      <c r="O787" s="532"/>
      <c r="P787" s="90"/>
      <c r="Q787" s="532"/>
      <c r="R787" s="219"/>
      <c r="S787" s="532"/>
      <c r="T787" s="90"/>
      <c r="U787" s="532"/>
      <c r="V787" s="532"/>
      <c r="W787" s="532"/>
      <c r="X787" s="532"/>
      <c r="Y787" s="532"/>
      <c r="Z787" s="532"/>
      <c r="AA787" s="532"/>
      <c r="AB787" s="532"/>
      <c r="AC787" s="532"/>
      <c r="AD787" s="532"/>
      <c r="AE787" s="532"/>
      <c r="AF787" s="532"/>
      <c r="AG787" s="532"/>
      <c r="AH787" s="532"/>
      <c r="AI787" s="532"/>
      <c r="AJ787" s="532"/>
    </row>
    <row r="788" spans="13:36" ht="12.95" customHeight="1" x14ac:dyDescent="0.2">
      <c r="M788" s="532"/>
      <c r="N788" s="532"/>
      <c r="O788" s="532"/>
      <c r="P788" s="90"/>
      <c r="Q788" s="532"/>
      <c r="R788" s="219"/>
      <c r="S788" s="532"/>
      <c r="T788" s="90"/>
      <c r="U788" s="532"/>
      <c r="V788" s="532"/>
      <c r="W788" s="532"/>
      <c r="X788" s="532"/>
      <c r="Y788" s="532"/>
      <c r="Z788" s="532"/>
      <c r="AA788" s="532"/>
      <c r="AB788" s="532"/>
      <c r="AC788" s="532"/>
      <c r="AD788" s="532"/>
      <c r="AE788" s="532"/>
      <c r="AF788" s="532"/>
      <c r="AG788" s="532"/>
      <c r="AH788" s="532"/>
      <c r="AI788" s="532"/>
      <c r="AJ788" s="532"/>
    </row>
    <row r="789" spans="13:36" ht="12.95" customHeight="1" x14ac:dyDescent="0.2">
      <c r="M789" s="532"/>
      <c r="N789" s="532"/>
      <c r="O789" s="532"/>
      <c r="P789" s="90"/>
      <c r="Q789" s="532"/>
      <c r="R789" s="219"/>
      <c r="S789" s="532"/>
      <c r="T789" s="90"/>
      <c r="U789" s="532"/>
      <c r="V789" s="532"/>
      <c r="W789" s="532"/>
      <c r="X789" s="532"/>
      <c r="Y789" s="532"/>
      <c r="Z789" s="532"/>
      <c r="AA789" s="532"/>
      <c r="AB789" s="532"/>
      <c r="AC789" s="532"/>
      <c r="AD789" s="532"/>
      <c r="AE789" s="532"/>
      <c r="AF789" s="532"/>
      <c r="AG789" s="532"/>
      <c r="AH789" s="532"/>
      <c r="AI789" s="532"/>
      <c r="AJ789" s="532"/>
    </row>
    <row r="790" spans="13:36" ht="12.95" customHeight="1" x14ac:dyDescent="0.2">
      <c r="M790" s="532"/>
      <c r="N790" s="532"/>
      <c r="O790" s="532"/>
      <c r="P790" s="90"/>
      <c r="Q790" s="532"/>
      <c r="R790" s="219"/>
      <c r="S790" s="532"/>
      <c r="T790" s="90"/>
      <c r="U790" s="532"/>
      <c r="V790" s="532"/>
      <c r="W790" s="532"/>
      <c r="X790" s="532"/>
      <c r="Y790" s="532"/>
      <c r="Z790" s="532"/>
      <c r="AA790" s="532"/>
      <c r="AB790" s="532"/>
      <c r="AC790" s="532"/>
      <c r="AD790" s="532"/>
      <c r="AE790" s="532"/>
      <c r="AF790" s="532"/>
      <c r="AG790" s="532"/>
      <c r="AH790" s="532"/>
      <c r="AI790" s="532"/>
      <c r="AJ790" s="532"/>
    </row>
    <row r="791" spans="13:36" ht="12.95" customHeight="1" x14ac:dyDescent="0.2">
      <c r="M791" s="532"/>
      <c r="N791" s="532"/>
      <c r="O791" s="532"/>
      <c r="P791" s="90"/>
      <c r="Q791" s="532"/>
      <c r="R791" s="219"/>
      <c r="S791" s="532"/>
      <c r="T791" s="90"/>
      <c r="U791" s="532"/>
      <c r="V791" s="532"/>
      <c r="W791" s="532"/>
      <c r="X791" s="532"/>
      <c r="Y791" s="532"/>
      <c r="Z791" s="532"/>
      <c r="AA791" s="532"/>
      <c r="AB791" s="532"/>
      <c r="AC791" s="532"/>
      <c r="AD791" s="532"/>
      <c r="AE791" s="532"/>
      <c r="AF791" s="532"/>
      <c r="AG791" s="532"/>
      <c r="AH791" s="532"/>
      <c r="AI791" s="532"/>
      <c r="AJ791" s="532"/>
    </row>
    <row r="792" spans="13:36" ht="12.95" customHeight="1" x14ac:dyDescent="0.2">
      <c r="M792" s="532"/>
      <c r="N792" s="532"/>
      <c r="O792" s="532"/>
      <c r="P792" s="90"/>
      <c r="Q792" s="532"/>
      <c r="R792" s="219"/>
      <c r="S792" s="532"/>
      <c r="T792" s="90"/>
      <c r="U792" s="532"/>
      <c r="V792" s="532"/>
      <c r="W792" s="532"/>
      <c r="X792" s="532"/>
      <c r="Y792" s="532"/>
      <c r="Z792" s="532"/>
      <c r="AA792" s="532"/>
      <c r="AB792" s="532"/>
      <c r="AC792" s="532"/>
      <c r="AD792" s="532"/>
      <c r="AE792" s="532"/>
      <c r="AF792" s="532"/>
      <c r="AG792" s="532"/>
      <c r="AH792" s="532"/>
      <c r="AI792" s="532"/>
      <c r="AJ792" s="532"/>
    </row>
    <row r="793" spans="13:36" ht="12.95" customHeight="1" x14ac:dyDescent="0.2">
      <c r="M793" s="532"/>
      <c r="N793" s="532"/>
      <c r="O793" s="532"/>
      <c r="P793" s="90"/>
      <c r="Q793" s="532"/>
      <c r="R793" s="219"/>
      <c r="S793" s="532"/>
      <c r="T793" s="90"/>
      <c r="U793" s="532"/>
      <c r="V793" s="532"/>
      <c r="W793" s="532"/>
      <c r="X793" s="532"/>
      <c r="Y793" s="532"/>
      <c r="Z793" s="532"/>
      <c r="AA793" s="532"/>
      <c r="AB793" s="532"/>
      <c r="AC793" s="532"/>
      <c r="AD793" s="532"/>
      <c r="AE793" s="532"/>
      <c r="AF793" s="532"/>
      <c r="AG793" s="532"/>
      <c r="AH793" s="532"/>
      <c r="AI793" s="532"/>
      <c r="AJ793" s="532"/>
    </row>
    <row r="794" spans="13:36" ht="12.95" customHeight="1" x14ac:dyDescent="0.2">
      <c r="M794" s="532"/>
      <c r="N794" s="532"/>
      <c r="O794" s="532"/>
      <c r="P794" s="90"/>
      <c r="Q794" s="532"/>
      <c r="R794" s="219"/>
      <c r="S794" s="532"/>
      <c r="T794" s="90"/>
      <c r="U794" s="532"/>
      <c r="V794" s="532"/>
      <c r="W794" s="532"/>
      <c r="X794" s="532"/>
      <c r="Y794" s="532"/>
      <c r="Z794" s="532"/>
      <c r="AA794" s="532"/>
      <c r="AB794" s="532"/>
      <c r="AC794" s="532"/>
      <c r="AD794" s="532"/>
      <c r="AE794" s="532"/>
      <c r="AF794" s="532"/>
      <c r="AG794" s="532"/>
      <c r="AH794" s="532"/>
      <c r="AI794" s="532"/>
      <c r="AJ794" s="532"/>
    </row>
    <row r="795" spans="13:36" ht="12.95" customHeight="1" x14ac:dyDescent="0.2">
      <c r="M795" s="532"/>
      <c r="N795" s="532"/>
      <c r="O795" s="532"/>
      <c r="P795" s="90"/>
      <c r="Q795" s="532"/>
      <c r="R795" s="219"/>
      <c r="S795" s="532"/>
      <c r="T795" s="90"/>
      <c r="U795" s="532"/>
      <c r="V795" s="532"/>
      <c r="W795" s="532"/>
      <c r="X795" s="532"/>
      <c r="Y795" s="532"/>
      <c r="Z795" s="532"/>
      <c r="AA795" s="532"/>
      <c r="AB795" s="532"/>
      <c r="AC795" s="532"/>
      <c r="AD795" s="532"/>
      <c r="AE795" s="532"/>
      <c r="AF795" s="532"/>
      <c r="AG795" s="532"/>
      <c r="AH795" s="532"/>
      <c r="AI795" s="532"/>
      <c r="AJ795" s="532"/>
    </row>
    <row r="796" spans="13:36" ht="12.95" customHeight="1" x14ac:dyDescent="0.2">
      <c r="M796" s="532"/>
      <c r="N796" s="532"/>
      <c r="O796" s="532"/>
      <c r="P796" s="90"/>
      <c r="Q796" s="532"/>
      <c r="R796" s="219"/>
      <c r="S796" s="532"/>
      <c r="T796" s="90"/>
      <c r="U796" s="532"/>
      <c r="V796" s="532"/>
      <c r="W796" s="532"/>
      <c r="X796" s="532"/>
      <c r="Y796" s="532"/>
      <c r="Z796" s="532"/>
      <c r="AA796" s="532"/>
      <c r="AB796" s="532"/>
      <c r="AC796" s="532"/>
      <c r="AD796" s="532"/>
      <c r="AE796" s="532"/>
      <c r="AF796" s="532"/>
      <c r="AG796" s="532"/>
      <c r="AH796" s="532"/>
      <c r="AI796" s="532"/>
      <c r="AJ796" s="532"/>
    </row>
    <row r="797" spans="13:36" ht="12.95" customHeight="1" x14ac:dyDescent="0.2">
      <c r="M797" s="532"/>
      <c r="N797" s="532"/>
      <c r="O797" s="532"/>
      <c r="P797" s="90"/>
      <c r="Q797" s="532"/>
      <c r="R797" s="219"/>
      <c r="S797" s="532"/>
      <c r="T797" s="90"/>
      <c r="U797" s="532"/>
      <c r="V797" s="532"/>
      <c r="W797" s="532"/>
      <c r="X797" s="532"/>
      <c r="Y797" s="532"/>
      <c r="Z797" s="532"/>
      <c r="AA797" s="532"/>
      <c r="AB797" s="532"/>
      <c r="AC797" s="532"/>
      <c r="AD797" s="532"/>
      <c r="AE797" s="532"/>
      <c r="AF797" s="532"/>
      <c r="AG797" s="532"/>
      <c r="AH797" s="532"/>
      <c r="AI797" s="532"/>
      <c r="AJ797" s="532"/>
    </row>
    <row r="798" spans="13:36" ht="12.95" customHeight="1" x14ac:dyDescent="0.2">
      <c r="M798" s="532"/>
      <c r="N798" s="532"/>
      <c r="O798" s="532"/>
      <c r="P798" s="90"/>
      <c r="Q798" s="532"/>
      <c r="R798" s="219"/>
      <c r="S798" s="532"/>
      <c r="T798" s="90"/>
      <c r="U798" s="532"/>
      <c r="V798" s="532"/>
      <c r="W798" s="532"/>
      <c r="X798" s="532"/>
      <c r="Y798" s="532"/>
      <c r="Z798" s="532"/>
      <c r="AA798" s="532"/>
      <c r="AB798" s="532"/>
      <c r="AC798" s="532"/>
      <c r="AD798" s="532"/>
      <c r="AE798" s="532"/>
      <c r="AF798" s="532"/>
      <c r="AG798" s="532"/>
      <c r="AH798" s="532"/>
      <c r="AI798" s="532"/>
      <c r="AJ798" s="532"/>
    </row>
    <row r="799" spans="13:36" ht="12.95" customHeight="1" x14ac:dyDescent="0.2">
      <c r="M799" s="532"/>
      <c r="N799" s="532"/>
      <c r="O799" s="532"/>
      <c r="P799" s="90"/>
      <c r="Q799" s="532"/>
      <c r="R799" s="219"/>
      <c r="S799" s="532"/>
      <c r="T799" s="90"/>
      <c r="U799" s="532"/>
      <c r="V799" s="532"/>
      <c r="W799" s="532"/>
      <c r="X799" s="532"/>
      <c r="Y799" s="532"/>
      <c r="Z799" s="532"/>
      <c r="AA799" s="532"/>
      <c r="AB799" s="532"/>
      <c r="AC799" s="532"/>
      <c r="AD799" s="532"/>
      <c r="AE799" s="532"/>
      <c r="AF799" s="532"/>
      <c r="AG799" s="532"/>
      <c r="AH799" s="532"/>
      <c r="AI799" s="532"/>
      <c r="AJ799" s="532"/>
    </row>
    <row r="800" spans="13:36" ht="12.95" customHeight="1" x14ac:dyDescent="0.2">
      <c r="M800" s="532"/>
      <c r="N800" s="532"/>
      <c r="O800" s="532"/>
      <c r="P800" s="90"/>
      <c r="Q800" s="532"/>
      <c r="R800" s="219"/>
      <c r="S800" s="532"/>
      <c r="T800" s="90"/>
      <c r="U800" s="532"/>
      <c r="V800" s="532"/>
      <c r="W800" s="532"/>
      <c r="X800" s="532"/>
      <c r="Y800" s="532"/>
      <c r="Z800" s="532"/>
      <c r="AA800" s="532"/>
      <c r="AB800" s="532"/>
      <c r="AC800" s="532"/>
      <c r="AD800" s="532"/>
      <c r="AE800" s="532"/>
      <c r="AF800" s="532"/>
      <c r="AG800" s="532"/>
      <c r="AH800" s="532"/>
      <c r="AI800" s="532"/>
      <c r="AJ800" s="532"/>
    </row>
    <row r="801" spans="13:36" ht="12.95" customHeight="1" x14ac:dyDescent="0.2">
      <c r="M801" s="532"/>
      <c r="N801" s="532"/>
      <c r="O801" s="532"/>
      <c r="P801" s="90"/>
      <c r="Q801" s="532"/>
      <c r="R801" s="219"/>
      <c r="S801" s="532"/>
      <c r="T801" s="90"/>
      <c r="U801" s="532"/>
      <c r="V801" s="532"/>
      <c r="W801" s="532"/>
      <c r="X801" s="532"/>
      <c r="Y801" s="532"/>
      <c r="Z801" s="532"/>
      <c r="AA801" s="532"/>
      <c r="AB801" s="532"/>
      <c r="AC801" s="532"/>
      <c r="AD801" s="532"/>
      <c r="AE801" s="532"/>
      <c r="AF801" s="532"/>
      <c r="AG801" s="532"/>
      <c r="AH801" s="532"/>
      <c r="AI801" s="532"/>
      <c r="AJ801" s="532"/>
    </row>
    <row r="802" spans="13:36" ht="12.95" customHeight="1" x14ac:dyDescent="0.2">
      <c r="M802" s="532"/>
      <c r="N802" s="532"/>
      <c r="O802" s="532"/>
      <c r="P802" s="90"/>
      <c r="Q802" s="532"/>
      <c r="R802" s="219"/>
      <c r="S802" s="532"/>
      <c r="T802" s="90"/>
      <c r="U802" s="532"/>
      <c r="V802" s="532"/>
      <c r="W802" s="532"/>
      <c r="X802" s="532"/>
      <c r="Y802" s="532"/>
      <c r="Z802" s="532"/>
      <c r="AA802" s="532"/>
      <c r="AB802" s="532"/>
      <c r="AC802" s="532"/>
      <c r="AD802" s="532"/>
      <c r="AE802" s="532"/>
      <c r="AF802" s="532"/>
      <c r="AG802" s="532"/>
      <c r="AH802" s="532"/>
      <c r="AI802" s="532"/>
      <c r="AJ802" s="532"/>
    </row>
    <row r="803" spans="13:36" ht="12.95" customHeight="1" x14ac:dyDescent="0.2">
      <c r="M803" s="532"/>
      <c r="N803" s="532"/>
      <c r="O803" s="532"/>
      <c r="P803" s="90"/>
      <c r="Q803" s="532"/>
      <c r="R803" s="219"/>
      <c r="S803" s="532"/>
      <c r="T803" s="90"/>
      <c r="U803" s="532"/>
      <c r="V803" s="532"/>
      <c r="W803" s="532"/>
      <c r="X803" s="532"/>
      <c r="Y803" s="532"/>
      <c r="Z803" s="532"/>
      <c r="AA803" s="532"/>
      <c r="AB803" s="532"/>
      <c r="AC803" s="532"/>
      <c r="AD803" s="532"/>
      <c r="AE803" s="532"/>
      <c r="AF803" s="532"/>
      <c r="AG803" s="532"/>
      <c r="AH803" s="532"/>
      <c r="AI803" s="532"/>
      <c r="AJ803" s="532"/>
    </row>
    <row r="804" spans="13:36" ht="12.95" customHeight="1" x14ac:dyDescent="0.2">
      <c r="M804" s="532"/>
      <c r="N804" s="532"/>
      <c r="O804" s="532"/>
      <c r="P804" s="90"/>
      <c r="Q804" s="532"/>
      <c r="R804" s="219"/>
      <c r="S804" s="532"/>
      <c r="T804" s="90"/>
      <c r="U804" s="532"/>
      <c r="V804" s="532"/>
      <c r="W804" s="532"/>
      <c r="X804" s="532"/>
      <c r="Y804" s="532"/>
      <c r="Z804" s="532"/>
      <c r="AA804" s="532"/>
      <c r="AB804" s="532"/>
      <c r="AC804" s="532"/>
      <c r="AD804" s="532"/>
      <c r="AE804" s="532"/>
      <c r="AF804" s="532"/>
      <c r="AG804" s="532"/>
      <c r="AH804" s="532"/>
      <c r="AI804" s="532"/>
      <c r="AJ804" s="532"/>
    </row>
    <row r="805" spans="13:36" ht="12.95" customHeight="1" x14ac:dyDescent="0.2">
      <c r="M805" s="532"/>
      <c r="N805" s="532"/>
      <c r="O805" s="532"/>
      <c r="P805" s="90"/>
      <c r="Q805" s="532"/>
      <c r="R805" s="219"/>
      <c r="S805" s="532"/>
      <c r="T805" s="90"/>
      <c r="U805" s="532"/>
      <c r="V805" s="532"/>
      <c r="W805" s="532"/>
      <c r="X805" s="532"/>
      <c r="Y805" s="532"/>
      <c r="Z805" s="532"/>
      <c r="AA805" s="532"/>
      <c r="AB805" s="532"/>
      <c r="AC805" s="532"/>
      <c r="AD805" s="532"/>
      <c r="AE805" s="532"/>
      <c r="AF805" s="532"/>
      <c r="AG805" s="532"/>
      <c r="AH805" s="532"/>
      <c r="AI805" s="532"/>
      <c r="AJ805" s="532"/>
    </row>
    <row r="806" spans="13:36" ht="12.95" customHeight="1" x14ac:dyDescent="0.2">
      <c r="M806" s="532"/>
      <c r="N806" s="532"/>
      <c r="O806" s="532"/>
      <c r="P806" s="90"/>
      <c r="Q806" s="532"/>
      <c r="R806" s="219"/>
      <c r="S806" s="532"/>
      <c r="T806" s="90"/>
      <c r="U806" s="532"/>
      <c r="V806" s="532"/>
      <c r="W806" s="532"/>
      <c r="X806" s="532"/>
      <c r="Y806" s="532"/>
      <c r="Z806" s="532"/>
      <c r="AA806" s="532"/>
      <c r="AB806" s="532"/>
      <c r="AC806" s="532"/>
      <c r="AD806" s="532"/>
      <c r="AE806" s="532"/>
      <c r="AF806" s="532"/>
      <c r="AG806" s="532"/>
      <c r="AH806" s="532"/>
      <c r="AI806" s="532"/>
      <c r="AJ806" s="532"/>
    </row>
    <row r="807" spans="13:36" ht="12.95" customHeight="1" x14ac:dyDescent="0.2">
      <c r="M807" s="532"/>
      <c r="N807" s="532"/>
      <c r="O807" s="532"/>
      <c r="P807" s="90"/>
      <c r="Q807" s="532"/>
      <c r="R807" s="219"/>
      <c r="S807" s="532"/>
      <c r="T807" s="90"/>
      <c r="U807" s="532"/>
      <c r="V807" s="532"/>
      <c r="W807" s="532"/>
      <c r="X807" s="532"/>
      <c r="Y807" s="532"/>
      <c r="Z807" s="532"/>
      <c r="AA807" s="532"/>
      <c r="AB807" s="532"/>
      <c r="AC807" s="532"/>
      <c r="AD807" s="532"/>
      <c r="AE807" s="532"/>
      <c r="AF807" s="532"/>
      <c r="AG807" s="532"/>
      <c r="AH807" s="532"/>
      <c r="AI807" s="532"/>
      <c r="AJ807" s="532"/>
    </row>
    <row r="808" spans="13:36" ht="12.95" customHeight="1" x14ac:dyDescent="0.2">
      <c r="M808" s="532"/>
      <c r="N808" s="532"/>
      <c r="O808" s="532"/>
      <c r="P808" s="90"/>
      <c r="Q808" s="532"/>
      <c r="R808" s="219"/>
      <c r="S808" s="532"/>
      <c r="T808" s="90"/>
      <c r="U808" s="532"/>
      <c r="V808" s="532"/>
      <c r="W808" s="532"/>
      <c r="X808" s="532"/>
      <c r="Y808" s="532"/>
      <c r="Z808" s="532"/>
      <c r="AA808" s="532"/>
      <c r="AB808" s="532"/>
      <c r="AC808" s="532"/>
      <c r="AD808" s="532"/>
      <c r="AE808" s="532"/>
      <c r="AF808" s="532"/>
      <c r="AG808" s="532"/>
      <c r="AH808" s="532"/>
      <c r="AI808" s="532"/>
      <c r="AJ808" s="532"/>
    </row>
    <row r="809" spans="13:36" ht="12.95" customHeight="1" x14ac:dyDescent="0.2">
      <c r="M809" s="532"/>
      <c r="N809" s="532"/>
      <c r="O809" s="532"/>
      <c r="P809" s="90"/>
      <c r="Q809" s="532"/>
      <c r="R809" s="219"/>
      <c r="S809" s="532"/>
      <c r="T809" s="90"/>
      <c r="U809" s="532"/>
      <c r="V809" s="532"/>
      <c r="W809" s="532"/>
      <c r="X809" s="532"/>
      <c r="Y809" s="532"/>
      <c r="Z809" s="532"/>
      <c r="AA809" s="532"/>
      <c r="AB809" s="532"/>
      <c r="AC809" s="532"/>
      <c r="AD809" s="532"/>
      <c r="AE809" s="532"/>
      <c r="AF809" s="532"/>
      <c r="AG809" s="532"/>
      <c r="AH809" s="532"/>
      <c r="AI809" s="532"/>
      <c r="AJ809" s="532"/>
    </row>
    <row r="810" spans="13:36" ht="12.95" customHeight="1" x14ac:dyDescent="0.2">
      <c r="M810" s="532"/>
      <c r="N810" s="532"/>
      <c r="O810" s="532"/>
      <c r="P810" s="90"/>
      <c r="Q810" s="532"/>
      <c r="R810" s="219"/>
      <c r="S810" s="532"/>
      <c r="T810" s="90"/>
      <c r="U810" s="532"/>
      <c r="V810" s="532"/>
      <c r="W810" s="532"/>
      <c r="X810" s="532"/>
      <c r="Y810" s="532"/>
      <c r="Z810" s="532"/>
      <c r="AA810" s="532"/>
      <c r="AB810" s="532"/>
      <c r="AC810" s="532"/>
      <c r="AD810" s="532"/>
      <c r="AE810" s="532"/>
      <c r="AF810" s="532"/>
      <c r="AG810" s="532"/>
      <c r="AH810" s="532"/>
      <c r="AI810" s="532"/>
      <c r="AJ810" s="532"/>
    </row>
    <row r="811" spans="13:36" ht="12.95" customHeight="1" x14ac:dyDescent="0.2">
      <c r="M811" s="532"/>
      <c r="N811" s="532"/>
      <c r="O811" s="532"/>
      <c r="P811" s="90"/>
      <c r="Q811" s="532"/>
      <c r="R811" s="219"/>
      <c r="S811" s="532"/>
      <c r="T811" s="90"/>
      <c r="U811" s="532"/>
      <c r="V811" s="532"/>
      <c r="W811" s="532"/>
      <c r="X811" s="532"/>
      <c r="Y811" s="532"/>
      <c r="Z811" s="532"/>
      <c r="AA811" s="532"/>
      <c r="AB811" s="532"/>
      <c r="AC811" s="532"/>
      <c r="AD811" s="532"/>
      <c r="AE811" s="532"/>
      <c r="AF811" s="532"/>
      <c r="AG811" s="532"/>
      <c r="AH811" s="532"/>
      <c r="AI811" s="532"/>
      <c r="AJ811" s="532"/>
    </row>
    <row r="812" spans="13:36" ht="12.95" customHeight="1" x14ac:dyDescent="0.2">
      <c r="M812" s="532"/>
      <c r="N812" s="532"/>
      <c r="O812" s="532"/>
      <c r="P812" s="90"/>
      <c r="Q812" s="532"/>
      <c r="R812" s="219"/>
      <c r="S812" s="532"/>
      <c r="T812" s="90"/>
      <c r="U812" s="532"/>
      <c r="V812" s="532"/>
      <c r="W812" s="532"/>
      <c r="X812" s="532"/>
      <c r="Y812" s="532"/>
      <c r="Z812" s="532"/>
      <c r="AA812" s="532"/>
      <c r="AB812" s="532"/>
      <c r="AC812" s="532"/>
      <c r="AD812" s="532"/>
      <c r="AE812" s="532"/>
      <c r="AF812" s="532"/>
      <c r="AG812" s="532"/>
      <c r="AH812" s="532"/>
      <c r="AI812" s="532"/>
      <c r="AJ812" s="532"/>
    </row>
    <row r="813" spans="13:36" ht="12.95" customHeight="1" x14ac:dyDescent="0.2">
      <c r="M813" s="532"/>
      <c r="N813" s="532"/>
      <c r="O813" s="532"/>
      <c r="P813" s="90"/>
      <c r="Q813" s="532"/>
      <c r="R813" s="219"/>
      <c r="S813" s="532"/>
      <c r="T813" s="90"/>
      <c r="U813" s="532"/>
      <c r="V813" s="532"/>
      <c r="W813" s="532"/>
      <c r="X813" s="532"/>
      <c r="Y813" s="532"/>
      <c r="Z813" s="532"/>
      <c r="AA813" s="532"/>
      <c r="AB813" s="532"/>
      <c r="AC813" s="532"/>
      <c r="AD813" s="532"/>
      <c r="AE813" s="532"/>
      <c r="AF813" s="532"/>
      <c r="AG813" s="532"/>
      <c r="AH813" s="532"/>
      <c r="AI813" s="532"/>
      <c r="AJ813" s="532"/>
    </row>
    <row r="814" spans="13:36" ht="12.95" customHeight="1" x14ac:dyDescent="0.2">
      <c r="M814" s="532"/>
      <c r="N814" s="532"/>
      <c r="O814" s="532"/>
      <c r="P814" s="90"/>
      <c r="Q814" s="532"/>
      <c r="R814" s="219"/>
      <c r="S814" s="532"/>
      <c r="T814" s="90"/>
      <c r="U814" s="532"/>
      <c r="V814" s="532"/>
      <c r="W814" s="532"/>
      <c r="X814" s="532"/>
      <c r="Y814" s="532"/>
      <c r="Z814" s="532"/>
      <c r="AA814" s="532"/>
      <c r="AB814" s="532"/>
      <c r="AC814" s="532"/>
      <c r="AD814" s="532"/>
      <c r="AE814" s="532"/>
      <c r="AF814" s="532"/>
      <c r="AG814" s="532"/>
      <c r="AH814" s="532"/>
      <c r="AI814" s="532"/>
      <c r="AJ814" s="532"/>
    </row>
    <row r="815" spans="13:36" ht="12.95" customHeight="1" x14ac:dyDescent="0.2">
      <c r="M815" s="532"/>
      <c r="N815" s="532"/>
      <c r="O815" s="532"/>
      <c r="P815" s="90"/>
      <c r="Q815" s="532"/>
      <c r="R815" s="219"/>
      <c r="S815" s="532"/>
      <c r="T815" s="90"/>
      <c r="U815" s="532"/>
      <c r="V815" s="532"/>
      <c r="W815" s="532"/>
      <c r="X815" s="532"/>
      <c r="Y815" s="532"/>
      <c r="Z815" s="532"/>
      <c r="AA815" s="532"/>
      <c r="AB815" s="532"/>
      <c r="AC815" s="532"/>
      <c r="AD815" s="532"/>
      <c r="AE815" s="532"/>
      <c r="AF815" s="532"/>
      <c r="AG815" s="532"/>
      <c r="AH815" s="532"/>
      <c r="AI815" s="532"/>
      <c r="AJ815" s="532"/>
    </row>
    <row r="816" spans="13:36" ht="12.95" customHeight="1" x14ac:dyDescent="0.2">
      <c r="M816" s="532"/>
      <c r="N816" s="532"/>
      <c r="O816" s="532"/>
      <c r="P816" s="90"/>
      <c r="Q816" s="532"/>
      <c r="R816" s="219"/>
      <c r="S816" s="532"/>
      <c r="T816" s="90"/>
      <c r="U816" s="532"/>
      <c r="V816" s="532"/>
      <c r="W816" s="532"/>
      <c r="X816" s="532"/>
      <c r="Y816" s="532"/>
      <c r="Z816" s="532"/>
      <c r="AA816" s="532"/>
      <c r="AB816" s="532"/>
      <c r="AC816" s="532"/>
      <c r="AD816" s="532"/>
      <c r="AE816" s="532"/>
      <c r="AF816" s="532"/>
      <c r="AG816" s="532"/>
      <c r="AH816" s="532"/>
      <c r="AI816" s="532"/>
      <c r="AJ816" s="532"/>
    </row>
    <row r="817" spans="13:36" ht="12.95" customHeight="1" x14ac:dyDescent="0.2">
      <c r="M817" s="532"/>
      <c r="N817" s="532"/>
      <c r="O817" s="532"/>
      <c r="P817" s="90"/>
      <c r="Q817" s="532"/>
      <c r="R817" s="219"/>
      <c r="S817" s="532"/>
      <c r="T817" s="90"/>
      <c r="U817" s="532"/>
      <c r="V817" s="532"/>
      <c r="W817" s="532"/>
      <c r="X817" s="532"/>
      <c r="Y817" s="532"/>
      <c r="Z817" s="532"/>
      <c r="AA817" s="532"/>
      <c r="AB817" s="532"/>
      <c r="AC817" s="532"/>
      <c r="AD817" s="532"/>
      <c r="AE817" s="532"/>
      <c r="AF817" s="532"/>
      <c r="AG817" s="532"/>
      <c r="AH817" s="532"/>
      <c r="AI817" s="532"/>
      <c r="AJ817" s="532"/>
    </row>
    <row r="818" spans="13:36" ht="12.95" customHeight="1" x14ac:dyDescent="0.2">
      <c r="M818" s="532"/>
      <c r="N818" s="532"/>
      <c r="O818" s="532"/>
      <c r="P818" s="90"/>
      <c r="Q818" s="532"/>
      <c r="R818" s="219"/>
      <c r="S818" s="532"/>
      <c r="T818" s="90"/>
      <c r="U818" s="532"/>
      <c r="V818" s="532"/>
      <c r="W818" s="532"/>
      <c r="X818" s="532"/>
      <c r="Y818" s="532"/>
      <c r="Z818" s="532"/>
      <c r="AA818" s="532"/>
      <c r="AB818" s="532"/>
      <c r="AC818" s="532"/>
      <c r="AD818" s="532"/>
      <c r="AE818" s="532"/>
      <c r="AF818" s="532"/>
      <c r="AG818" s="532"/>
      <c r="AH818" s="532"/>
      <c r="AI818" s="532"/>
      <c r="AJ818" s="532"/>
    </row>
    <row r="819" spans="13:36" ht="12.95" customHeight="1" x14ac:dyDescent="0.2">
      <c r="M819" s="532"/>
      <c r="N819" s="532"/>
      <c r="O819" s="532"/>
      <c r="P819" s="90"/>
      <c r="Q819" s="532"/>
      <c r="R819" s="219"/>
      <c r="S819" s="532"/>
      <c r="T819" s="90"/>
      <c r="U819" s="532"/>
      <c r="V819" s="532"/>
      <c r="W819" s="532"/>
      <c r="X819" s="532"/>
      <c r="Y819" s="532"/>
      <c r="Z819" s="532"/>
      <c r="AA819" s="532"/>
      <c r="AB819" s="532"/>
      <c r="AC819" s="532"/>
      <c r="AD819" s="532"/>
      <c r="AE819" s="532"/>
      <c r="AF819" s="532"/>
      <c r="AG819" s="532"/>
      <c r="AH819" s="532"/>
      <c r="AI819" s="532"/>
      <c r="AJ819" s="532"/>
    </row>
    <row r="820" spans="13:36" ht="12.95" customHeight="1" x14ac:dyDescent="0.2">
      <c r="M820" s="532"/>
      <c r="N820" s="532"/>
      <c r="O820" s="532"/>
      <c r="P820" s="90"/>
      <c r="Q820" s="532"/>
      <c r="R820" s="219"/>
      <c r="S820" s="532"/>
      <c r="T820" s="90"/>
      <c r="U820" s="532"/>
      <c r="V820" s="532"/>
      <c r="W820" s="532"/>
      <c r="X820" s="532"/>
      <c r="Y820" s="532"/>
      <c r="Z820" s="532"/>
      <c r="AA820" s="532"/>
      <c r="AB820" s="532"/>
      <c r="AC820" s="532"/>
      <c r="AD820" s="532"/>
      <c r="AE820" s="532"/>
      <c r="AF820" s="532"/>
      <c r="AG820" s="532"/>
      <c r="AH820" s="532"/>
      <c r="AI820" s="532"/>
      <c r="AJ820" s="532"/>
    </row>
    <row r="821" spans="13:36" ht="12.95" customHeight="1" x14ac:dyDescent="0.2">
      <c r="M821" s="532"/>
      <c r="N821" s="532"/>
      <c r="O821" s="532"/>
      <c r="P821" s="90"/>
      <c r="Q821" s="532"/>
      <c r="R821" s="219"/>
      <c r="S821" s="532"/>
      <c r="T821" s="90"/>
      <c r="U821" s="532"/>
      <c r="V821" s="532"/>
      <c r="W821" s="532"/>
      <c r="X821" s="532"/>
      <c r="Y821" s="532"/>
      <c r="Z821" s="532"/>
      <c r="AA821" s="532"/>
      <c r="AB821" s="532"/>
      <c r="AC821" s="532"/>
      <c r="AD821" s="532"/>
      <c r="AE821" s="532"/>
      <c r="AF821" s="532"/>
      <c r="AG821" s="532"/>
      <c r="AH821" s="532"/>
      <c r="AI821" s="532"/>
      <c r="AJ821" s="532"/>
    </row>
    <row r="822" spans="13:36" ht="12.95" customHeight="1" x14ac:dyDescent="0.2">
      <c r="M822" s="532"/>
      <c r="N822" s="532"/>
      <c r="O822" s="532"/>
      <c r="P822" s="90"/>
      <c r="Q822" s="532"/>
      <c r="R822" s="219"/>
      <c r="S822" s="532"/>
      <c r="T822" s="90"/>
      <c r="U822" s="532"/>
      <c r="V822" s="532"/>
      <c r="W822" s="532"/>
      <c r="X822" s="532"/>
      <c r="Y822" s="532"/>
      <c r="Z822" s="532"/>
      <c r="AA822" s="532"/>
      <c r="AB822" s="532"/>
      <c r="AC822" s="532"/>
      <c r="AD822" s="532"/>
      <c r="AE822" s="532"/>
      <c r="AF822" s="532"/>
      <c r="AG822" s="532"/>
      <c r="AH822" s="532"/>
      <c r="AI822" s="532"/>
      <c r="AJ822" s="532"/>
    </row>
    <row r="823" spans="13:36" ht="12.95" customHeight="1" x14ac:dyDescent="0.2">
      <c r="M823" s="532"/>
      <c r="N823" s="532"/>
      <c r="O823" s="532"/>
      <c r="P823" s="90"/>
      <c r="Q823" s="532"/>
      <c r="R823" s="219"/>
      <c r="S823" s="532"/>
      <c r="T823" s="90"/>
      <c r="U823" s="532"/>
      <c r="V823" s="532"/>
      <c r="W823" s="532"/>
      <c r="X823" s="532"/>
      <c r="Y823" s="532"/>
      <c r="Z823" s="532"/>
      <c r="AA823" s="532"/>
      <c r="AB823" s="532"/>
      <c r="AC823" s="532"/>
      <c r="AD823" s="532"/>
      <c r="AE823" s="532"/>
      <c r="AF823" s="532"/>
      <c r="AG823" s="532"/>
      <c r="AH823" s="532"/>
      <c r="AI823" s="532"/>
      <c r="AJ823" s="532"/>
    </row>
    <row r="824" spans="13:36" ht="12.95" customHeight="1" x14ac:dyDescent="0.2">
      <c r="M824" s="532"/>
      <c r="N824" s="532"/>
      <c r="O824" s="532"/>
      <c r="P824" s="90"/>
      <c r="Q824" s="532"/>
      <c r="R824" s="219"/>
      <c r="S824" s="532"/>
      <c r="T824" s="90"/>
      <c r="U824" s="532"/>
      <c r="V824" s="532"/>
      <c r="W824" s="532"/>
      <c r="X824" s="532"/>
      <c r="Y824" s="532"/>
      <c r="Z824" s="532"/>
      <c r="AA824" s="532"/>
      <c r="AB824" s="532"/>
      <c r="AC824" s="532"/>
      <c r="AD824" s="532"/>
      <c r="AE824" s="532"/>
      <c r="AF824" s="532"/>
      <c r="AG824" s="532"/>
      <c r="AH824" s="532"/>
      <c r="AI824" s="532"/>
      <c r="AJ824" s="532"/>
    </row>
    <row r="825" spans="13:36" ht="12.95" customHeight="1" x14ac:dyDescent="0.2">
      <c r="M825" s="532"/>
      <c r="N825" s="532"/>
      <c r="O825" s="532"/>
      <c r="P825" s="90"/>
      <c r="Q825" s="532"/>
      <c r="R825" s="219"/>
      <c r="S825" s="532"/>
      <c r="T825" s="90"/>
      <c r="U825" s="532"/>
      <c r="V825" s="532"/>
      <c r="W825" s="532"/>
      <c r="X825" s="532"/>
      <c r="Y825" s="532"/>
      <c r="Z825" s="532"/>
      <c r="AA825" s="532"/>
      <c r="AB825" s="532"/>
      <c r="AC825" s="532"/>
      <c r="AD825" s="532"/>
      <c r="AE825" s="532"/>
      <c r="AF825" s="532"/>
      <c r="AG825" s="532"/>
      <c r="AH825" s="532"/>
      <c r="AI825" s="532"/>
      <c r="AJ825" s="532"/>
    </row>
    <row r="826" spans="13:36" ht="12.95" customHeight="1" x14ac:dyDescent="0.2">
      <c r="M826" s="532"/>
      <c r="N826" s="532"/>
      <c r="O826" s="532"/>
      <c r="P826" s="90"/>
      <c r="Q826" s="532"/>
      <c r="R826" s="219"/>
      <c r="S826" s="532"/>
      <c r="T826" s="90"/>
      <c r="U826" s="532"/>
      <c r="V826" s="532"/>
      <c r="W826" s="532"/>
      <c r="X826" s="532"/>
      <c r="Y826" s="532"/>
      <c r="Z826" s="532"/>
      <c r="AA826" s="532"/>
      <c r="AB826" s="532"/>
      <c r="AC826" s="532"/>
      <c r="AD826" s="532"/>
      <c r="AE826" s="532"/>
      <c r="AF826" s="532"/>
      <c r="AG826" s="532"/>
      <c r="AH826" s="532"/>
      <c r="AI826" s="532"/>
      <c r="AJ826" s="532"/>
    </row>
    <row r="827" spans="13:36" ht="12.95" customHeight="1" x14ac:dyDescent="0.2">
      <c r="M827" s="532"/>
      <c r="N827" s="532"/>
      <c r="O827" s="532"/>
      <c r="P827" s="90"/>
      <c r="Q827" s="532"/>
      <c r="R827" s="219"/>
      <c r="S827" s="532"/>
      <c r="T827" s="90"/>
      <c r="U827" s="532"/>
      <c r="V827" s="532"/>
      <c r="W827" s="532"/>
      <c r="X827" s="532"/>
      <c r="Y827" s="532"/>
      <c r="Z827" s="532"/>
      <c r="AA827" s="532"/>
      <c r="AB827" s="532"/>
      <c r="AC827" s="532"/>
      <c r="AD827" s="532"/>
      <c r="AE827" s="532"/>
      <c r="AF827" s="532"/>
      <c r="AG827" s="532"/>
      <c r="AH827" s="532"/>
      <c r="AI827" s="532"/>
      <c r="AJ827" s="532"/>
    </row>
    <row r="828" spans="13:36" ht="12.95" customHeight="1" x14ac:dyDescent="0.2">
      <c r="M828" s="532"/>
      <c r="N828" s="532"/>
      <c r="O828" s="532"/>
      <c r="P828" s="90"/>
      <c r="Q828" s="532"/>
      <c r="R828" s="219"/>
      <c r="S828" s="532"/>
      <c r="T828" s="90"/>
      <c r="U828" s="532"/>
      <c r="V828" s="532"/>
      <c r="W828" s="532"/>
      <c r="X828" s="532"/>
      <c r="Y828" s="532"/>
      <c r="Z828" s="532"/>
      <c r="AA828" s="532"/>
      <c r="AB828" s="532"/>
      <c r="AC828" s="532"/>
      <c r="AD828" s="532"/>
      <c r="AE828" s="532"/>
      <c r="AF828" s="532"/>
      <c r="AG828" s="532"/>
      <c r="AH828" s="532"/>
      <c r="AI828" s="532"/>
      <c r="AJ828" s="532"/>
    </row>
    <row r="829" spans="13:36" ht="12.95" customHeight="1" x14ac:dyDescent="0.2">
      <c r="M829" s="532"/>
      <c r="N829" s="532"/>
      <c r="O829" s="532"/>
      <c r="P829" s="90"/>
      <c r="Q829" s="532"/>
      <c r="R829" s="219"/>
      <c r="S829" s="532"/>
      <c r="T829" s="90"/>
      <c r="U829" s="532"/>
      <c r="V829" s="532"/>
      <c r="W829" s="532"/>
      <c r="X829" s="532"/>
      <c r="Y829" s="532"/>
      <c r="Z829" s="532"/>
      <c r="AA829" s="532"/>
      <c r="AB829" s="532"/>
      <c r="AC829" s="532"/>
      <c r="AD829" s="532"/>
      <c r="AE829" s="532"/>
      <c r="AF829" s="532"/>
      <c r="AG829" s="532"/>
      <c r="AH829" s="532"/>
      <c r="AI829" s="532"/>
      <c r="AJ829" s="532"/>
    </row>
    <row r="830" spans="13:36" ht="12.95" customHeight="1" x14ac:dyDescent="0.2">
      <c r="M830" s="532"/>
      <c r="N830" s="532"/>
      <c r="O830" s="532"/>
      <c r="P830" s="90"/>
      <c r="Q830" s="532"/>
      <c r="R830" s="219"/>
      <c r="S830" s="532"/>
      <c r="T830" s="90"/>
      <c r="U830" s="532"/>
      <c r="V830" s="532"/>
      <c r="W830" s="532"/>
      <c r="X830" s="532"/>
      <c r="Y830" s="532"/>
      <c r="Z830" s="532"/>
      <c r="AA830" s="532"/>
      <c r="AB830" s="532"/>
      <c r="AC830" s="532"/>
      <c r="AD830" s="532"/>
      <c r="AE830" s="532"/>
      <c r="AF830" s="532"/>
      <c r="AG830" s="532"/>
      <c r="AH830" s="532"/>
      <c r="AI830" s="532"/>
      <c r="AJ830" s="532"/>
    </row>
    <row r="831" spans="13:36" ht="12.95" customHeight="1" x14ac:dyDescent="0.2">
      <c r="M831" s="532"/>
      <c r="N831" s="532"/>
      <c r="O831" s="532"/>
      <c r="P831" s="90"/>
      <c r="Q831" s="532"/>
      <c r="R831" s="219"/>
      <c r="S831" s="532"/>
      <c r="T831" s="90"/>
      <c r="U831" s="532"/>
      <c r="V831" s="532"/>
      <c r="W831" s="532"/>
      <c r="X831" s="532"/>
      <c r="Y831" s="532"/>
      <c r="Z831" s="532"/>
      <c r="AA831" s="532"/>
      <c r="AB831" s="532"/>
      <c r="AC831" s="532"/>
      <c r="AD831" s="532"/>
      <c r="AE831" s="532"/>
      <c r="AF831" s="532"/>
      <c r="AG831" s="532"/>
      <c r="AH831" s="532"/>
      <c r="AI831" s="532"/>
      <c r="AJ831" s="532"/>
    </row>
    <row r="832" spans="13:36" ht="12.95" customHeight="1" x14ac:dyDescent="0.2">
      <c r="M832" s="532"/>
      <c r="N832" s="532"/>
      <c r="O832" s="532"/>
      <c r="P832" s="90"/>
      <c r="Q832" s="532"/>
      <c r="R832" s="219"/>
      <c r="S832" s="532"/>
      <c r="T832" s="90"/>
      <c r="U832" s="532"/>
      <c r="V832" s="532"/>
      <c r="W832" s="532"/>
      <c r="X832" s="532"/>
      <c r="Y832" s="532"/>
      <c r="Z832" s="532"/>
      <c r="AA832" s="532"/>
      <c r="AB832" s="532"/>
      <c r="AC832" s="532"/>
      <c r="AD832" s="532"/>
      <c r="AE832" s="532"/>
      <c r="AF832" s="532"/>
      <c r="AG832" s="532"/>
      <c r="AH832" s="532"/>
      <c r="AI832" s="532"/>
      <c r="AJ832" s="532"/>
    </row>
    <row r="833" spans="13:36" ht="12.95" customHeight="1" x14ac:dyDescent="0.2">
      <c r="M833" s="532"/>
      <c r="N833" s="532"/>
      <c r="O833" s="532"/>
      <c r="P833" s="90"/>
      <c r="Q833" s="532"/>
      <c r="R833" s="219"/>
      <c r="S833" s="532"/>
      <c r="T833" s="90"/>
      <c r="U833" s="532"/>
      <c r="V833" s="532"/>
      <c r="W833" s="532"/>
      <c r="X833" s="532"/>
      <c r="Y833" s="532"/>
      <c r="Z833" s="532"/>
      <c r="AA833" s="532"/>
      <c r="AB833" s="532"/>
      <c r="AC833" s="532"/>
      <c r="AD833" s="532"/>
      <c r="AE833" s="532"/>
      <c r="AF833" s="532"/>
      <c r="AG833" s="532"/>
      <c r="AH833" s="532"/>
      <c r="AI833" s="532"/>
      <c r="AJ833" s="532"/>
    </row>
    <row r="834" spans="13:36" ht="12.95" customHeight="1" x14ac:dyDescent="0.2">
      <c r="M834" s="532"/>
      <c r="N834" s="532"/>
      <c r="O834" s="532"/>
      <c r="P834" s="90"/>
      <c r="Q834" s="532"/>
      <c r="R834" s="219"/>
      <c r="S834" s="532"/>
      <c r="T834" s="90"/>
      <c r="U834" s="532"/>
      <c r="V834" s="532"/>
      <c r="W834" s="532"/>
      <c r="X834" s="532"/>
      <c r="Y834" s="532"/>
      <c r="Z834" s="532"/>
      <c r="AA834" s="532"/>
      <c r="AB834" s="532"/>
      <c r="AC834" s="532"/>
      <c r="AD834" s="532"/>
      <c r="AE834" s="532"/>
      <c r="AF834" s="532"/>
      <c r="AG834" s="532"/>
      <c r="AH834" s="532"/>
      <c r="AI834" s="532"/>
      <c r="AJ834" s="532"/>
    </row>
    <row r="835" spans="13:36" ht="12.95" customHeight="1" x14ac:dyDescent="0.2">
      <c r="M835" s="532"/>
      <c r="N835" s="532"/>
      <c r="O835" s="532"/>
      <c r="P835" s="90"/>
      <c r="Q835" s="532"/>
      <c r="R835" s="219"/>
      <c r="S835" s="532"/>
      <c r="T835" s="90"/>
      <c r="U835" s="532"/>
      <c r="V835" s="532"/>
      <c r="W835" s="532"/>
      <c r="X835" s="532"/>
      <c r="Y835" s="532"/>
      <c r="Z835" s="532"/>
      <c r="AA835" s="532"/>
      <c r="AB835" s="532"/>
      <c r="AC835" s="532"/>
      <c r="AD835" s="532"/>
      <c r="AE835" s="532"/>
      <c r="AF835" s="532"/>
      <c r="AG835" s="532"/>
      <c r="AH835" s="532"/>
      <c r="AI835" s="532"/>
      <c r="AJ835" s="532"/>
    </row>
    <row r="836" spans="13:36" ht="12.95" customHeight="1" x14ac:dyDescent="0.2">
      <c r="M836" s="532"/>
      <c r="N836" s="532"/>
      <c r="O836" s="532"/>
      <c r="P836" s="90"/>
      <c r="Q836" s="532"/>
      <c r="R836" s="219"/>
      <c r="S836" s="532"/>
      <c r="T836" s="90"/>
      <c r="U836" s="532"/>
      <c r="V836" s="532"/>
      <c r="W836" s="532"/>
      <c r="X836" s="532"/>
      <c r="Y836" s="532"/>
      <c r="Z836" s="532"/>
      <c r="AA836" s="532"/>
      <c r="AB836" s="532"/>
      <c r="AC836" s="532"/>
      <c r="AD836" s="532"/>
      <c r="AE836" s="532"/>
      <c r="AF836" s="532"/>
      <c r="AG836" s="532"/>
      <c r="AH836" s="532"/>
      <c r="AI836" s="532"/>
      <c r="AJ836" s="532"/>
    </row>
    <row r="837" spans="13:36" ht="12.95" customHeight="1" x14ac:dyDescent="0.2">
      <c r="M837" s="532"/>
      <c r="N837" s="532"/>
      <c r="O837" s="532"/>
      <c r="P837" s="90"/>
      <c r="Q837" s="532"/>
      <c r="R837" s="219"/>
      <c r="S837" s="532"/>
      <c r="T837" s="90"/>
      <c r="U837" s="532"/>
      <c r="V837" s="532"/>
      <c r="W837" s="532"/>
      <c r="X837" s="532"/>
      <c r="Y837" s="532"/>
      <c r="Z837" s="532"/>
      <c r="AA837" s="532"/>
      <c r="AB837" s="532"/>
      <c r="AC837" s="532"/>
      <c r="AD837" s="532"/>
      <c r="AE837" s="532"/>
      <c r="AF837" s="532"/>
      <c r="AG837" s="532"/>
      <c r="AH837" s="532"/>
      <c r="AI837" s="532"/>
      <c r="AJ837" s="532"/>
    </row>
    <row r="838" spans="13:36" ht="12.95" customHeight="1" x14ac:dyDescent="0.2">
      <c r="M838" s="532"/>
      <c r="N838" s="532"/>
      <c r="O838" s="532"/>
      <c r="P838" s="90"/>
      <c r="Q838" s="532"/>
      <c r="R838" s="219"/>
      <c r="S838" s="532"/>
      <c r="T838" s="90"/>
      <c r="U838" s="532"/>
      <c r="V838" s="532"/>
      <c r="W838" s="532"/>
      <c r="X838" s="532"/>
      <c r="Y838" s="532"/>
      <c r="Z838" s="532"/>
      <c r="AA838" s="532"/>
      <c r="AB838" s="532"/>
      <c r="AC838" s="532"/>
      <c r="AD838" s="532"/>
      <c r="AE838" s="532"/>
      <c r="AF838" s="532"/>
      <c r="AG838" s="532"/>
      <c r="AH838" s="532"/>
      <c r="AI838" s="532"/>
      <c r="AJ838" s="532"/>
    </row>
    <row r="839" spans="13:36" ht="12.95" customHeight="1" x14ac:dyDescent="0.2">
      <c r="M839" s="532"/>
      <c r="N839" s="532"/>
      <c r="O839" s="532"/>
      <c r="P839" s="90"/>
      <c r="Q839" s="532"/>
      <c r="R839" s="219"/>
      <c r="S839" s="532"/>
      <c r="T839" s="90"/>
      <c r="U839" s="532"/>
      <c r="V839" s="532"/>
      <c r="W839" s="532"/>
      <c r="X839" s="532"/>
      <c r="Y839" s="532"/>
      <c r="Z839" s="532"/>
      <c r="AA839" s="532"/>
      <c r="AB839" s="532"/>
      <c r="AC839" s="532"/>
      <c r="AD839" s="532"/>
      <c r="AE839" s="532"/>
      <c r="AF839" s="532"/>
      <c r="AG839" s="532"/>
      <c r="AH839" s="532"/>
      <c r="AI839" s="532"/>
      <c r="AJ839" s="532"/>
    </row>
    <row r="840" spans="13:36" ht="12.95" customHeight="1" x14ac:dyDescent="0.2">
      <c r="M840" s="532"/>
      <c r="N840" s="532"/>
      <c r="O840" s="532"/>
      <c r="P840" s="90"/>
      <c r="Q840" s="532"/>
      <c r="R840" s="219"/>
      <c r="S840" s="532"/>
      <c r="T840" s="90"/>
      <c r="U840" s="532"/>
      <c r="V840" s="532"/>
      <c r="W840" s="532"/>
      <c r="X840" s="532"/>
      <c r="Y840" s="532"/>
      <c r="Z840" s="532"/>
      <c r="AA840" s="532"/>
      <c r="AB840" s="532"/>
      <c r="AC840" s="532"/>
      <c r="AD840" s="532"/>
      <c r="AE840" s="532"/>
      <c r="AF840" s="532"/>
      <c r="AG840" s="532"/>
      <c r="AH840" s="532"/>
      <c r="AI840" s="532"/>
      <c r="AJ840" s="532"/>
    </row>
    <row r="841" spans="13:36" ht="12.95" customHeight="1" x14ac:dyDescent="0.2">
      <c r="M841" s="532"/>
      <c r="N841" s="532"/>
      <c r="O841" s="532"/>
      <c r="P841" s="90"/>
      <c r="Q841" s="532"/>
      <c r="R841" s="219"/>
      <c r="S841" s="532"/>
      <c r="T841" s="90"/>
      <c r="U841" s="532"/>
      <c r="V841" s="532"/>
      <c r="W841" s="532"/>
      <c r="X841" s="532"/>
      <c r="Y841" s="532"/>
      <c r="Z841" s="532"/>
      <c r="AA841" s="532"/>
      <c r="AB841" s="532"/>
      <c r="AC841" s="532"/>
      <c r="AD841" s="532"/>
      <c r="AE841" s="532"/>
      <c r="AF841" s="532"/>
      <c r="AG841" s="532"/>
      <c r="AH841" s="532"/>
      <c r="AI841" s="532"/>
      <c r="AJ841" s="532"/>
    </row>
    <row r="842" spans="13:36" ht="12.95" customHeight="1" x14ac:dyDescent="0.2">
      <c r="M842" s="532"/>
      <c r="N842" s="532"/>
      <c r="O842" s="532"/>
      <c r="P842" s="90"/>
      <c r="Q842" s="532"/>
      <c r="R842" s="219"/>
      <c r="S842" s="532"/>
      <c r="T842" s="90"/>
      <c r="U842" s="532"/>
      <c r="V842" s="532"/>
      <c r="W842" s="532"/>
      <c r="X842" s="532"/>
      <c r="Y842" s="532"/>
      <c r="Z842" s="532"/>
      <c r="AA842" s="532"/>
      <c r="AB842" s="532"/>
      <c r="AC842" s="532"/>
      <c r="AD842" s="532"/>
      <c r="AE842" s="532"/>
      <c r="AF842" s="532"/>
      <c r="AG842" s="532"/>
      <c r="AH842" s="532"/>
      <c r="AI842" s="532"/>
      <c r="AJ842" s="532"/>
    </row>
    <row r="843" spans="13:36" ht="12.95" customHeight="1" x14ac:dyDescent="0.2">
      <c r="M843" s="532"/>
      <c r="N843" s="532"/>
      <c r="O843" s="532"/>
      <c r="P843" s="90"/>
      <c r="Q843" s="532"/>
      <c r="R843" s="219"/>
      <c r="S843" s="532"/>
      <c r="T843" s="90"/>
      <c r="U843" s="532"/>
      <c r="V843" s="532"/>
      <c r="W843" s="532"/>
      <c r="X843" s="532"/>
      <c r="Y843" s="532"/>
      <c r="Z843" s="532"/>
      <c r="AA843" s="532"/>
      <c r="AB843" s="532"/>
      <c r="AC843" s="532"/>
      <c r="AD843" s="532"/>
      <c r="AE843" s="532"/>
      <c r="AF843" s="532"/>
      <c r="AG843" s="532"/>
      <c r="AH843" s="532"/>
      <c r="AI843" s="532"/>
      <c r="AJ843" s="532"/>
    </row>
    <row r="844" spans="13:36" ht="12.95" customHeight="1" x14ac:dyDescent="0.2">
      <c r="M844" s="532"/>
      <c r="N844" s="532"/>
      <c r="O844" s="532"/>
      <c r="P844" s="90"/>
      <c r="Q844" s="532"/>
      <c r="R844" s="219"/>
      <c r="S844" s="532"/>
      <c r="T844" s="90"/>
      <c r="U844" s="532"/>
      <c r="V844" s="532"/>
      <c r="W844" s="532"/>
      <c r="X844" s="532"/>
      <c r="Y844" s="532"/>
      <c r="Z844" s="532"/>
      <c r="AA844" s="532"/>
      <c r="AB844" s="532"/>
      <c r="AC844" s="532"/>
      <c r="AD844" s="532"/>
      <c r="AE844" s="532"/>
      <c r="AF844" s="532"/>
      <c r="AG844" s="532"/>
      <c r="AH844" s="532"/>
      <c r="AI844" s="532"/>
      <c r="AJ844" s="532"/>
    </row>
    <row r="845" spans="13:36" ht="12.95" customHeight="1" x14ac:dyDescent="0.2">
      <c r="M845" s="532"/>
      <c r="N845" s="532"/>
      <c r="O845" s="532"/>
      <c r="P845" s="90"/>
      <c r="Q845" s="532"/>
      <c r="R845" s="219"/>
      <c r="S845" s="532"/>
      <c r="T845" s="90"/>
      <c r="U845" s="532"/>
      <c r="V845" s="532"/>
      <c r="W845" s="532"/>
      <c r="X845" s="532"/>
      <c r="Y845" s="532"/>
      <c r="Z845" s="532"/>
      <c r="AA845" s="532"/>
      <c r="AB845" s="532"/>
      <c r="AC845" s="532"/>
      <c r="AD845" s="532"/>
      <c r="AE845" s="532"/>
      <c r="AF845" s="532"/>
      <c r="AG845" s="532"/>
      <c r="AH845" s="532"/>
      <c r="AI845" s="532"/>
      <c r="AJ845" s="532"/>
    </row>
    <row r="846" spans="13:36" ht="12.95" customHeight="1" x14ac:dyDescent="0.2">
      <c r="M846" s="532"/>
      <c r="N846" s="532"/>
      <c r="O846" s="532"/>
      <c r="P846" s="90"/>
      <c r="Q846" s="532"/>
      <c r="R846" s="219"/>
      <c r="S846" s="532"/>
      <c r="T846" s="90"/>
      <c r="U846" s="532"/>
      <c r="V846" s="532"/>
      <c r="W846" s="532"/>
      <c r="X846" s="532"/>
      <c r="Y846" s="532"/>
      <c r="Z846" s="532"/>
      <c r="AA846" s="532"/>
      <c r="AB846" s="532"/>
      <c r="AC846" s="532"/>
      <c r="AD846" s="532"/>
      <c r="AE846" s="532"/>
      <c r="AF846" s="532"/>
      <c r="AG846" s="532"/>
      <c r="AH846" s="532"/>
      <c r="AI846" s="532"/>
      <c r="AJ846" s="532"/>
    </row>
    <row r="847" spans="13:36" ht="12.95" customHeight="1" x14ac:dyDescent="0.2">
      <c r="M847" s="532"/>
      <c r="N847" s="532"/>
      <c r="O847" s="532"/>
      <c r="P847" s="90"/>
      <c r="Q847" s="532"/>
      <c r="R847" s="219"/>
      <c r="S847" s="532"/>
      <c r="T847" s="90"/>
      <c r="U847" s="532"/>
      <c r="V847" s="532"/>
      <c r="W847" s="532"/>
      <c r="X847" s="532"/>
      <c r="Y847" s="532"/>
      <c r="Z847" s="532"/>
      <c r="AA847" s="532"/>
      <c r="AB847" s="532"/>
      <c r="AC847" s="532"/>
      <c r="AD847" s="532"/>
      <c r="AE847" s="532"/>
      <c r="AF847" s="532"/>
      <c r="AG847" s="532"/>
      <c r="AH847" s="532"/>
      <c r="AI847" s="532"/>
      <c r="AJ847" s="532"/>
    </row>
    <row r="848" spans="13:36" ht="12.95" customHeight="1" x14ac:dyDescent="0.2">
      <c r="M848" s="532"/>
      <c r="N848" s="532"/>
      <c r="O848" s="532"/>
      <c r="P848" s="90"/>
      <c r="Q848" s="532"/>
      <c r="R848" s="219"/>
      <c r="S848" s="532"/>
      <c r="T848" s="90"/>
      <c r="U848" s="532"/>
      <c r="V848" s="532"/>
      <c r="W848" s="532"/>
      <c r="X848" s="532"/>
      <c r="Y848" s="532"/>
      <c r="Z848" s="532"/>
      <c r="AA848" s="532"/>
      <c r="AB848" s="532"/>
      <c r="AC848" s="532"/>
      <c r="AD848" s="532"/>
      <c r="AE848" s="532"/>
      <c r="AF848" s="532"/>
      <c r="AG848" s="532"/>
      <c r="AH848" s="532"/>
      <c r="AI848" s="532"/>
      <c r="AJ848" s="532"/>
    </row>
    <row r="849" spans="13:36" ht="12.95" customHeight="1" x14ac:dyDescent="0.2">
      <c r="M849" s="532"/>
      <c r="N849" s="532"/>
      <c r="O849" s="532"/>
      <c r="P849" s="90"/>
      <c r="Q849" s="532"/>
      <c r="R849" s="219"/>
      <c r="S849" s="532"/>
      <c r="T849" s="90"/>
      <c r="U849" s="532"/>
      <c r="V849" s="532"/>
      <c r="W849" s="532"/>
      <c r="X849" s="532"/>
      <c r="Y849" s="532"/>
      <c r="Z849" s="532"/>
      <c r="AA849" s="532"/>
      <c r="AB849" s="532"/>
      <c r="AC849" s="532"/>
      <c r="AD849" s="532"/>
      <c r="AE849" s="532"/>
      <c r="AF849" s="532"/>
      <c r="AG849" s="532"/>
      <c r="AH849" s="532"/>
      <c r="AI849" s="532"/>
      <c r="AJ849" s="532"/>
    </row>
    <row r="850" spans="13:36" ht="12.95" customHeight="1" x14ac:dyDescent="0.2">
      <c r="M850" s="532"/>
      <c r="N850" s="532"/>
      <c r="O850" s="532"/>
      <c r="P850" s="90"/>
      <c r="Q850" s="532"/>
      <c r="R850" s="219"/>
      <c r="S850" s="532"/>
      <c r="T850" s="90"/>
      <c r="U850" s="532"/>
      <c r="V850" s="532"/>
      <c r="W850" s="532"/>
      <c r="X850" s="532"/>
      <c r="Y850" s="532"/>
      <c r="Z850" s="532"/>
      <c r="AA850" s="532"/>
      <c r="AB850" s="532"/>
      <c r="AC850" s="532"/>
      <c r="AD850" s="532"/>
      <c r="AE850" s="532"/>
      <c r="AF850" s="532"/>
      <c r="AG850" s="532"/>
      <c r="AH850" s="532"/>
      <c r="AI850" s="532"/>
      <c r="AJ850" s="532"/>
    </row>
    <row r="851" spans="13:36" ht="12.95" customHeight="1" x14ac:dyDescent="0.2">
      <c r="M851" s="532"/>
      <c r="N851" s="532"/>
      <c r="O851" s="532"/>
      <c r="P851" s="90"/>
      <c r="Q851" s="532"/>
      <c r="R851" s="219"/>
      <c r="S851" s="532"/>
      <c r="T851" s="90"/>
      <c r="U851" s="532"/>
      <c r="V851" s="532"/>
      <c r="W851" s="532"/>
      <c r="X851" s="532"/>
      <c r="Y851" s="532"/>
      <c r="Z851" s="532"/>
      <c r="AA851" s="532"/>
      <c r="AB851" s="532"/>
      <c r="AC851" s="532"/>
      <c r="AD851" s="532"/>
      <c r="AE851" s="532"/>
      <c r="AF851" s="532"/>
      <c r="AG851" s="532"/>
      <c r="AH851" s="532"/>
      <c r="AI851" s="532"/>
      <c r="AJ851" s="532"/>
    </row>
    <row r="852" spans="13:36" ht="12.95" customHeight="1" x14ac:dyDescent="0.2">
      <c r="M852" s="532"/>
      <c r="N852" s="532"/>
      <c r="O852" s="532"/>
      <c r="P852" s="90"/>
      <c r="Q852" s="532"/>
      <c r="R852" s="219"/>
      <c r="S852" s="532"/>
      <c r="T852" s="90"/>
      <c r="U852" s="532"/>
      <c r="V852" s="532"/>
      <c r="W852" s="532"/>
      <c r="X852" s="532"/>
      <c r="Y852" s="532"/>
      <c r="Z852" s="532"/>
      <c r="AA852" s="532"/>
      <c r="AB852" s="532"/>
      <c r="AC852" s="532"/>
      <c r="AD852" s="532"/>
      <c r="AE852" s="532"/>
      <c r="AF852" s="532"/>
      <c r="AG852" s="532"/>
      <c r="AH852" s="532"/>
      <c r="AI852" s="532"/>
      <c r="AJ852" s="532"/>
    </row>
    <row r="853" spans="13:36" ht="12.95" customHeight="1" x14ac:dyDescent="0.2">
      <c r="M853" s="532"/>
      <c r="N853" s="532"/>
      <c r="O853" s="532"/>
      <c r="P853" s="90"/>
      <c r="Q853" s="532"/>
      <c r="R853" s="219"/>
      <c r="S853" s="532"/>
      <c r="T853" s="90"/>
      <c r="U853" s="532"/>
      <c r="V853" s="532"/>
      <c r="W853" s="532"/>
      <c r="X853" s="532"/>
      <c r="Y853" s="532"/>
      <c r="Z853" s="532"/>
      <c r="AA853" s="532"/>
      <c r="AB853" s="532"/>
      <c r="AC853" s="532"/>
      <c r="AD853" s="532"/>
      <c r="AE853" s="532"/>
      <c r="AF853" s="532"/>
      <c r="AG853" s="532"/>
      <c r="AH853" s="532"/>
      <c r="AI853" s="532"/>
      <c r="AJ853" s="532"/>
    </row>
    <row r="854" spans="13:36" ht="12.95" customHeight="1" x14ac:dyDescent="0.2">
      <c r="M854" s="532"/>
      <c r="N854" s="532"/>
      <c r="O854" s="532"/>
      <c r="P854" s="90"/>
      <c r="Q854" s="532"/>
      <c r="R854" s="219"/>
      <c r="S854" s="532"/>
      <c r="T854" s="90"/>
      <c r="U854" s="532"/>
      <c r="V854" s="532"/>
      <c r="W854" s="532"/>
      <c r="X854" s="532"/>
      <c r="Y854" s="532"/>
      <c r="Z854" s="532"/>
      <c r="AA854" s="532"/>
      <c r="AB854" s="532"/>
      <c r="AC854" s="532"/>
      <c r="AD854" s="532"/>
      <c r="AE854" s="532"/>
      <c r="AF854" s="532"/>
      <c r="AG854" s="532"/>
      <c r="AH854" s="532"/>
      <c r="AI854" s="532"/>
      <c r="AJ854" s="532"/>
    </row>
    <row r="855" spans="13:36" ht="12.95" customHeight="1" x14ac:dyDescent="0.2">
      <c r="M855" s="532"/>
      <c r="N855" s="532"/>
      <c r="O855" s="532"/>
      <c r="P855" s="90"/>
      <c r="Q855" s="532"/>
      <c r="R855" s="219"/>
      <c r="S855" s="532"/>
      <c r="T855" s="90"/>
      <c r="U855" s="532"/>
      <c r="V855" s="532"/>
      <c r="W855" s="532"/>
      <c r="X855" s="532"/>
      <c r="Y855" s="532"/>
      <c r="Z855" s="532"/>
      <c r="AA855" s="532"/>
      <c r="AB855" s="532"/>
      <c r="AC855" s="532"/>
      <c r="AD855" s="532"/>
      <c r="AE855" s="532"/>
      <c r="AF855" s="532"/>
      <c r="AG855" s="532"/>
      <c r="AH855" s="532"/>
      <c r="AI855" s="532"/>
      <c r="AJ855" s="532"/>
    </row>
    <row r="856" spans="13:36" ht="12.95" customHeight="1" x14ac:dyDescent="0.2">
      <c r="M856" s="532"/>
      <c r="N856" s="532"/>
      <c r="O856" s="532"/>
      <c r="P856" s="90"/>
      <c r="Q856" s="532"/>
      <c r="R856" s="219"/>
      <c r="S856" s="532"/>
      <c r="T856" s="90"/>
      <c r="U856" s="532"/>
      <c r="V856" s="532"/>
      <c r="W856" s="532"/>
      <c r="X856" s="532"/>
      <c r="Y856" s="532"/>
      <c r="Z856" s="532"/>
      <c r="AA856" s="532"/>
      <c r="AB856" s="532"/>
      <c r="AC856" s="532"/>
      <c r="AD856" s="532"/>
      <c r="AE856" s="532"/>
      <c r="AF856" s="532"/>
      <c r="AG856" s="532"/>
      <c r="AH856" s="532"/>
      <c r="AI856" s="532"/>
      <c r="AJ856" s="532"/>
    </row>
    <row r="857" spans="13:36" ht="12.95" customHeight="1" x14ac:dyDescent="0.2">
      <c r="M857" s="532"/>
      <c r="N857" s="532"/>
      <c r="O857" s="532"/>
      <c r="P857" s="90"/>
      <c r="Q857" s="532"/>
      <c r="R857" s="219"/>
      <c r="S857" s="532"/>
      <c r="T857" s="90"/>
      <c r="U857" s="532"/>
      <c r="V857" s="532"/>
      <c r="W857" s="532"/>
      <c r="X857" s="532"/>
      <c r="Y857" s="532"/>
      <c r="Z857" s="532"/>
      <c r="AA857" s="532"/>
      <c r="AB857" s="532"/>
      <c r="AC857" s="532"/>
      <c r="AD857" s="532"/>
      <c r="AE857" s="532"/>
      <c r="AF857" s="532"/>
      <c r="AG857" s="532"/>
      <c r="AH857" s="532"/>
      <c r="AI857" s="532"/>
      <c r="AJ857" s="532"/>
    </row>
    <row r="858" spans="13:36" ht="12.95" customHeight="1" x14ac:dyDescent="0.2">
      <c r="M858" s="532"/>
      <c r="N858" s="532"/>
      <c r="O858" s="532"/>
      <c r="P858" s="90"/>
      <c r="Q858" s="532"/>
      <c r="R858" s="219"/>
      <c r="S858" s="532"/>
      <c r="T858" s="90"/>
      <c r="U858" s="532"/>
      <c r="V858" s="532"/>
      <c r="W858" s="532"/>
      <c r="X858" s="532"/>
      <c r="Y858" s="532"/>
      <c r="Z858" s="532"/>
      <c r="AA858" s="532"/>
      <c r="AB858" s="532"/>
      <c r="AC858" s="532"/>
      <c r="AD858" s="532"/>
      <c r="AE858" s="532"/>
      <c r="AF858" s="532"/>
      <c r="AG858" s="532"/>
      <c r="AH858" s="532"/>
      <c r="AI858" s="532"/>
      <c r="AJ858" s="532"/>
    </row>
    <row r="859" spans="13:36" ht="12.95" customHeight="1" x14ac:dyDescent="0.2">
      <c r="M859" s="532"/>
      <c r="N859" s="532"/>
      <c r="O859" s="532"/>
      <c r="P859" s="90"/>
      <c r="Q859" s="532"/>
      <c r="R859" s="219"/>
      <c r="S859" s="532"/>
      <c r="T859" s="90"/>
      <c r="U859" s="532"/>
      <c r="V859" s="532"/>
      <c r="W859" s="532"/>
      <c r="X859" s="532"/>
      <c r="Y859" s="532"/>
      <c r="Z859" s="532"/>
      <c r="AA859" s="532"/>
      <c r="AB859" s="532"/>
      <c r="AC859" s="532"/>
      <c r="AD859" s="532"/>
      <c r="AE859" s="532"/>
      <c r="AF859" s="532"/>
      <c r="AG859" s="532"/>
      <c r="AH859" s="532"/>
      <c r="AI859" s="532"/>
      <c r="AJ859" s="532"/>
    </row>
    <row r="860" spans="13:36" ht="12.95" customHeight="1" x14ac:dyDescent="0.2">
      <c r="M860" s="532"/>
      <c r="N860" s="532"/>
      <c r="O860" s="532"/>
      <c r="P860" s="90"/>
      <c r="Q860" s="532"/>
      <c r="R860" s="219"/>
      <c r="S860" s="532"/>
      <c r="T860" s="90"/>
      <c r="U860" s="532"/>
      <c r="V860" s="532"/>
      <c r="W860" s="532"/>
      <c r="X860" s="532"/>
      <c r="Y860" s="532"/>
      <c r="Z860" s="532"/>
      <c r="AA860" s="532"/>
      <c r="AB860" s="532"/>
      <c r="AC860" s="532"/>
      <c r="AD860" s="532"/>
      <c r="AE860" s="532"/>
      <c r="AF860" s="532"/>
      <c r="AG860" s="532"/>
      <c r="AH860" s="532"/>
      <c r="AI860" s="532"/>
      <c r="AJ860" s="532"/>
    </row>
    <row r="861" spans="13:36" ht="12.95" customHeight="1" x14ac:dyDescent="0.2">
      <c r="M861" s="532"/>
      <c r="N861" s="532"/>
      <c r="O861" s="532"/>
      <c r="P861" s="90"/>
      <c r="Q861" s="532"/>
      <c r="R861" s="219"/>
      <c r="S861" s="532"/>
      <c r="T861" s="90"/>
      <c r="U861" s="532"/>
      <c r="V861" s="532"/>
      <c r="W861" s="532"/>
      <c r="X861" s="532"/>
      <c r="Y861" s="532"/>
      <c r="Z861" s="532"/>
      <c r="AA861" s="532"/>
      <c r="AB861" s="532"/>
      <c r="AC861" s="532"/>
      <c r="AD861" s="532"/>
      <c r="AE861" s="532"/>
      <c r="AF861" s="532"/>
      <c r="AG861" s="532"/>
      <c r="AH861" s="532"/>
      <c r="AI861" s="532"/>
      <c r="AJ861" s="532"/>
    </row>
    <row r="862" spans="13:36" ht="12.95" customHeight="1" x14ac:dyDescent="0.2">
      <c r="M862" s="532"/>
      <c r="N862" s="532"/>
      <c r="O862" s="532"/>
      <c r="P862" s="90"/>
      <c r="Q862" s="532"/>
      <c r="R862" s="219"/>
      <c r="S862" s="532"/>
      <c r="T862" s="90"/>
      <c r="U862" s="532"/>
      <c r="V862" s="532"/>
      <c r="W862" s="532"/>
      <c r="X862" s="532"/>
      <c r="Y862" s="532"/>
      <c r="Z862" s="532"/>
      <c r="AA862" s="532"/>
      <c r="AB862" s="532"/>
      <c r="AC862" s="532"/>
      <c r="AD862" s="532"/>
      <c r="AE862" s="532"/>
      <c r="AF862" s="532"/>
      <c r="AG862" s="532"/>
      <c r="AH862" s="532"/>
      <c r="AI862" s="532"/>
      <c r="AJ862" s="532"/>
    </row>
    <row r="863" spans="13:36" ht="12.95" customHeight="1" x14ac:dyDescent="0.2">
      <c r="M863" s="532"/>
      <c r="N863" s="532"/>
      <c r="O863" s="532"/>
      <c r="P863" s="90"/>
      <c r="Q863" s="532"/>
      <c r="R863" s="219"/>
      <c r="S863" s="532"/>
      <c r="T863" s="90"/>
      <c r="U863" s="532"/>
      <c r="V863" s="532"/>
      <c r="W863" s="532"/>
      <c r="X863" s="532"/>
      <c r="Y863" s="532"/>
      <c r="Z863" s="532"/>
      <c r="AA863" s="532"/>
      <c r="AB863" s="532"/>
      <c r="AC863" s="532"/>
      <c r="AD863" s="532"/>
      <c r="AE863" s="532"/>
      <c r="AF863" s="532"/>
      <c r="AG863" s="532"/>
      <c r="AH863" s="532"/>
      <c r="AI863" s="532"/>
      <c r="AJ863" s="532"/>
    </row>
    <row r="864" spans="13:36" ht="12.95" customHeight="1" x14ac:dyDescent="0.2">
      <c r="M864" s="532"/>
      <c r="N864" s="532"/>
      <c r="O864" s="532"/>
      <c r="P864" s="90"/>
      <c r="Q864" s="532"/>
      <c r="R864" s="219"/>
      <c r="S864" s="532"/>
      <c r="T864" s="90"/>
      <c r="U864" s="532"/>
      <c r="V864" s="532"/>
      <c r="W864" s="532"/>
      <c r="X864" s="532"/>
      <c r="Y864" s="532"/>
      <c r="Z864" s="532"/>
      <c r="AA864" s="532"/>
      <c r="AB864" s="532"/>
      <c r="AC864" s="532"/>
      <c r="AD864" s="532"/>
      <c r="AE864" s="532"/>
      <c r="AF864" s="532"/>
      <c r="AG864" s="532"/>
      <c r="AH864" s="532"/>
      <c r="AI864" s="532"/>
      <c r="AJ864" s="532"/>
    </row>
    <row r="865" spans="13:36" ht="12.95" customHeight="1" x14ac:dyDescent="0.2">
      <c r="M865" s="532"/>
      <c r="N865" s="532"/>
      <c r="O865" s="532"/>
      <c r="P865" s="90"/>
      <c r="Q865" s="532"/>
      <c r="R865" s="219"/>
      <c r="S865" s="532"/>
      <c r="T865" s="90"/>
      <c r="U865" s="532"/>
      <c r="V865" s="532"/>
      <c r="W865" s="532"/>
      <c r="X865" s="532"/>
      <c r="Y865" s="532"/>
      <c r="Z865" s="532"/>
      <c r="AA865" s="532"/>
      <c r="AB865" s="532"/>
      <c r="AC865" s="532"/>
      <c r="AD865" s="532"/>
      <c r="AE865" s="532"/>
      <c r="AF865" s="532"/>
      <c r="AG865" s="532"/>
      <c r="AH865" s="532"/>
      <c r="AI865" s="532"/>
      <c r="AJ865" s="532"/>
    </row>
    <row r="866" spans="13:36" ht="12.95" customHeight="1" x14ac:dyDescent="0.2">
      <c r="M866" s="532"/>
      <c r="N866" s="532"/>
      <c r="O866" s="532"/>
      <c r="P866" s="90"/>
      <c r="Q866" s="532"/>
      <c r="R866" s="219"/>
      <c r="S866" s="532"/>
      <c r="T866" s="90"/>
      <c r="U866" s="532"/>
      <c r="V866" s="532"/>
      <c r="W866" s="532"/>
      <c r="X866" s="532"/>
      <c r="Y866" s="532"/>
      <c r="Z866" s="532"/>
      <c r="AA866" s="532"/>
      <c r="AB866" s="532"/>
      <c r="AC866" s="532"/>
      <c r="AD866" s="532"/>
      <c r="AE866" s="532"/>
      <c r="AF866" s="532"/>
      <c r="AG866" s="532"/>
      <c r="AH866" s="532"/>
      <c r="AI866" s="532"/>
      <c r="AJ866" s="532"/>
    </row>
    <row r="867" spans="13:36" ht="12.95" customHeight="1" x14ac:dyDescent="0.2">
      <c r="W867" s="532"/>
      <c r="X867" s="532"/>
      <c r="Y867" s="532"/>
      <c r="Z867" s="532"/>
      <c r="AA867" s="532"/>
      <c r="AB867" s="532"/>
      <c r="AC867" s="532"/>
      <c r="AD867" s="532"/>
      <c r="AE867" s="532"/>
      <c r="AF867" s="532"/>
      <c r="AG867" s="532"/>
      <c r="AH867" s="532"/>
      <c r="AI867" s="532"/>
      <c r="AJ867" s="532"/>
    </row>
  </sheetData>
  <mergeCells count="23">
    <mergeCell ref="N85:P85"/>
    <mergeCell ref="N86:P86"/>
    <mergeCell ref="C77:E77"/>
    <mergeCell ref="C75:E75"/>
    <mergeCell ref="C76:E76"/>
    <mergeCell ref="C80:E80"/>
    <mergeCell ref="C81:E81"/>
    <mergeCell ref="C4:K4"/>
    <mergeCell ref="N100:V100"/>
    <mergeCell ref="C6:K6"/>
    <mergeCell ref="N10:W10"/>
    <mergeCell ref="N75:P75"/>
    <mergeCell ref="N76:P76"/>
    <mergeCell ref="N77:P77"/>
    <mergeCell ref="C93:K93"/>
    <mergeCell ref="C94:K94"/>
    <mergeCell ref="N96:V96"/>
    <mergeCell ref="N97:V97"/>
    <mergeCell ref="N98:V98"/>
    <mergeCell ref="N99:V99"/>
    <mergeCell ref="N78:P78"/>
    <mergeCell ref="N79:P79"/>
    <mergeCell ref="N84:P84"/>
  </mergeCells>
  <hyperlinks>
    <hyperlink ref="C39" location="Table7" display="Go to machinery operations" xr:uid="{00000000-0004-0000-0800-000000000000}"/>
    <hyperlink ref="N39" location="Table8" display="Go to machinery operations" xr:uid="{00000000-0004-0000-0800-000001000000}"/>
  </hyperlinks>
  <pageMargins left="0.7" right="0.7" top="0.75" bottom="0.75" header="0.3" footer="0.3"/>
  <pageSetup scale="84" fitToWidth="2" fitToHeight="2" orientation="portrait" r:id="rId1"/>
  <headerFooter alignWithMargins="0">
    <oddFooter>&amp;L&amp;A&amp;C&amp;F&amp;R&amp;D</oddFooter>
  </headerFooter>
  <rowBreaks count="1" manualBreakCount="1">
    <brk id="72" min="1" max="22" man="1"/>
  </rowBreaks>
  <colBreaks count="1" manualBreakCount="1">
    <brk id="12" min="7" max="12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127</vt:i4>
      </vt:variant>
    </vt:vector>
  </HeadingPairs>
  <TitlesOfParts>
    <vt:vector size="144" baseType="lpstr">
      <vt:lpstr>Title Page</vt:lpstr>
      <vt:lpstr>Assumptions &amp; Instructions</vt:lpstr>
      <vt:lpstr>Summary</vt:lpstr>
      <vt:lpstr>Rotation data</vt:lpstr>
      <vt:lpstr>Input Costs</vt:lpstr>
      <vt:lpstr>Calendar (canola rotation)</vt:lpstr>
      <vt:lpstr>Calendar (wheat rotation)</vt:lpstr>
      <vt:lpstr>1. SWWW (canola rotation)</vt:lpstr>
      <vt:lpstr>2. HRWW (canola rotation)</vt:lpstr>
      <vt:lpstr>3. SC (canola rotation)</vt:lpstr>
      <vt:lpstr>4. SWWW (wheat rotation)</vt:lpstr>
      <vt:lpstr>5. HRWW (wheat rotation)</vt:lpstr>
      <vt:lpstr>6. SWSW (wheat rotation)</vt:lpstr>
      <vt:lpstr>7. DNS (wheat rotation)</vt:lpstr>
      <vt:lpstr>8. SB (wheat rotation)</vt:lpstr>
      <vt:lpstr>Machinery Complement</vt:lpstr>
      <vt:lpstr>Machinery Costs</vt:lpstr>
      <vt:lpstr>Aerial</vt:lpstr>
      <vt:lpstr>AmmSulfLiq</vt:lpstr>
      <vt:lpstr>AmSulf</vt:lpstr>
      <vt:lpstr>AssureII</vt:lpstr>
      <vt:lpstr>Axial</vt:lpstr>
      <vt:lpstr>axiom</vt:lpstr>
      <vt:lpstr>B1_TL</vt:lpstr>
      <vt:lpstr>B2_TL</vt:lpstr>
      <vt:lpstr>B3_TL</vt:lpstr>
      <vt:lpstr>B4_TL</vt:lpstr>
      <vt:lpstr>B5_TL</vt:lpstr>
      <vt:lpstr>B6_TL</vt:lpstr>
      <vt:lpstr>B7_TL</vt:lpstr>
      <vt:lpstr>B8_TL</vt:lpstr>
      <vt:lpstr>Banvel</vt:lpstr>
      <vt:lpstr>BarleyStorage</vt:lpstr>
      <vt:lpstr>Boron</vt:lpstr>
      <vt:lpstr>Bronate</vt:lpstr>
      <vt:lpstr>Brox2EC</vt:lpstr>
      <vt:lpstr>BroxM</vt:lpstr>
      <vt:lpstr>'Calendar (canola rotation)'!Calendar1</vt:lpstr>
      <vt:lpstr>'Calendar (canola rotation)'!Calendar2</vt:lpstr>
      <vt:lpstr>'Calendar (canola rotation)'!Calendar3</vt:lpstr>
      <vt:lpstr>'Calendar (wheat rotation)'!Calendar4</vt:lpstr>
      <vt:lpstr>'Calendar (wheat rotation)'!Calendar5</vt:lpstr>
      <vt:lpstr>'Calendar (wheat rotation)'!Calendar6</vt:lpstr>
      <vt:lpstr>CanolaStorage</vt:lpstr>
      <vt:lpstr>Cashrent</vt:lpstr>
      <vt:lpstr>ciDNS</vt:lpstr>
      <vt:lpstr>ciHRWW</vt:lpstr>
      <vt:lpstr>ciSB</vt:lpstr>
      <vt:lpstr>ciSC</vt:lpstr>
      <vt:lpstr>ciSWSW</vt:lpstr>
      <vt:lpstr>ciSWWW</vt:lpstr>
      <vt:lpstr>COC</vt:lpstr>
      <vt:lpstr>Diesel</vt:lpstr>
      <vt:lpstr>FertApplicator</vt:lpstr>
      <vt:lpstr>Finesse</vt:lpstr>
      <vt:lpstr>Gas</vt:lpstr>
      <vt:lpstr>Glyphosphate</vt:lpstr>
      <vt:lpstr>HarmonyGT</vt:lpstr>
      <vt:lpstr>Huskie</vt:lpstr>
      <vt:lpstr>InPlace</vt:lpstr>
      <vt:lpstr>Intloan</vt:lpstr>
      <vt:lpstr>Labor</vt:lpstr>
      <vt:lpstr>M_90</vt:lpstr>
      <vt:lpstr>MachLabor</vt:lpstr>
      <vt:lpstr>Maverick</vt:lpstr>
      <vt:lpstr>MCPAa</vt:lpstr>
      <vt:lpstr>MCPAe</vt:lpstr>
      <vt:lpstr>Mgmtfee</vt:lpstr>
      <vt:lpstr>mso</vt:lpstr>
      <vt:lpstr>NIS</vt:lpstr>
      <vt:lpstr>Nitrogen</vt:lpstr>
      <vt:lpstr>OH</vt:lpstr>
      <vt:lpstr>Operloan</vt:lpstr>
      <vt:lpstr>OperShare</vt:lpstr>
      <vt:lpstr>Orion</vt:lpstr>
      <vt:lpstr>Osprey</vt:lpstr>
      <vt:lpstr>OwnerShare</vt:lpstr>
      <vt:lpstr>Phosphorous</vt:lpstr>
      <vt:lpstr>Poast</vt:lpstr>
      <vt:lpstr>Potassium</vt:lpstr>
      <vt:lpstr>Powerflex</vt:lpstr>
      <vt:lpstr>'1. SWWW (canola rotation)'!Print_Area</vt:lpstr>
      <vt:lpstr>'2. HRWW (canola rotation)'!Print_Area</vt:lpstr>
      <vt:lpstr>'3. SC (canola rotation)'!Print_Area</vt:lpstr>
      <vt:lpstr>'4. SWWW (wheat rotation)'!Print_Area</vt:lpstr>
      <vt:lpstr>'5. HRWW (wheat rotation)'!Print_Area</vt:lpstr>
      <vt:lpstr>'6. SWSW (wheat rotation)'!Print_Area</vt:lpstr>
      <vt:lpstr>'7. DNS (wheat rotation)'!Print_Area</vt:lpstr>
      <vt:lpstr>'8. SB (wheat rotation)'!Print_Area</vt:lpstr>
      <vt:lpstr>'Assumptions &amp; Instructions'!Print_Area</vt:lpstr>
      <vt:lpstr>'Calendar (canola rotation)'!Print_Area</vt:lpstr>
      <vt:lpstr>'Calendar (wheat rotation)'!Print_Area</vt:lpstr>
      <vt:lpstr>'Input Costs'!Print_Area</vt:lpstr>
      <vt:lpstr>'Machinery Complement'!Print_Area</vt:lpstr>
      <vt:lpstr>'Machinery Costs'!Print_Area</vt:lpstr>
      <vt:lpstr>Summary!Print_Area</vt:lpstr>
      <vt:lpstr>'Title Page'!Print_Area</vt:lpstr>
      <vt:lpstr>pSB</vt:lpstr>
      <vt:lpstr>pSC</vt:lpstr>
      <vt:lpstr>pSWW</vt:lpstr>
      <vt:lpstr>Pursuit</vt:lpstr>
      <vt:lpstr>Quadris</vt:lpstr>
      <vt:lpstr>Quilt</vt:lpstr>
      <vt:lpstr>Rotation</vt:lpstr>
      <vt:lpstr>RotationData</vt:lpstr>
      <vt:lpstr>sdBarley</vt:lpstr>
      <vt:lpstr>sdDNS</vt:lpstr>
      <vt:lpstr>sdHRWW</vt:lpstr>
      <vt:lpstr>sdSC</vt:lpstr>
      <vt:lpstr>sdSC_RR</vt:lpstr>
      <vt:lpstr>sdSWSW</vt:lpstr>
      <vt:lpstr>sdSWWW</vt:lpstr>
      <vt:lpstr>Shooter</vt:lpstr>
      <vt:lpstr>Shredder</vt:lpstr>
      <vt:lpstr>Spodnam</vt:lpstr>
      <vt:lpstr>Sprayer</vt:lpstr>
      <vt:lpstr>Sulfur</vt:lpstr>
      <vt:lpstr>Table10</vt:lpstr>
      <vt:lpstr>Table11</vt:lpstr>
      <vt:lpstr>Table12</vt:lpstr>
      <vt:lpstr>Table13</vt:lpstr>
      <vt:lpstr>Table14</vt:lpstr>
      <vt:lpstr>Table15</vt:lpstr>
      <vt:lpstr>Table16</vt:lpstr>
      <vt:lpstr>Table4</vt:lpstr>
      <vt:lpstr>Table5</vt:lpstr>
      <vt:lpstr>Table6</vt:lpstr>
      <vt:lpstr>Table7</vt:lpstr>
      <vt:lpstr>Table8</vt:lpstr>
      <vt:lpstr>Table9</vt:lpstr>
      <vt:lpstr>Tilt</vt:lpstr>
      <vt:lpstr>Two4Da</vt:lpstr>
      <vt:lpstr>Two4De</vt:lpstr>
      <vt:lpstr>Warrior</vt:lpstr>
      <vt:lpstr>WheatStorage</vt:lpstr>
      <vt:lpstr>Widematch</vt:lpstr>
      <vt:lpstr>yDNS_CR</vt:lpstr>
      <vt:lpstr>yHRWW_CR</vt:lpstr>
      <vt:lpstr>yHRWW_OR</vt:lpstr>
      <vt:lpstr>ySB_CR</vt:lpstr>
      <vt:lpstr>ySC_OR</vt:lpstr>
      <vt:lpstr>ySWSW_CR</vt:lpstr>
      <vt:lpstr>ySWWW_CR</vt:lpstr>
      <vt:lpstr>ySWWW_OR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Crow, Samantha Marie</cp:lastModifiedBy>
  <cp:lastPrinted>2015-11-25T15:04:09Z</cp:lastPrinted>
  <dcterms:created xsi:type="dcterms:W3CDTF">2011-10-07T03:22:19Z</dcterms:created>
  <dcterms:modified xsi:type="dcterms:W3CDTF">2022-08-26T15:23:30Z</dcterms:modified>
</cp:coreProperties>
</file>