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autoCompressPictures="0" defaultThemeVersion="124226"/>
  <bookViews>
    <workbookView xWindow="11475" yWindow="-15" windowWidth="11520" windowHeight="12495" tabRatio="726"/>
  </bookViews>
  <sheets>
    <sheet name="Intro" sheetId="10" r:id="rId1"/>
    <sheet name="A2-Cider Apple Budget" sheetId="1" r:id="rId2"/>
    <sheet name="A3-Price &amp; Yield Analysis" sheetId="9" r:id="rId3"/>
    <sheet name="A4-Capital Req." sheetId="2" r:id="rId4"/>
    <sheet name="A5-Mach. Equip. &amp; Build. Req." sheetId="11" r:id="rId5"/>
    <sheet name="A6&amp;A7-Int. Costs &amp; Depr." sheetId="7" r:id="rId6"/>
    <sheet name="A8-Breakeven Return" sheetId="16" r:id="rId7"/>
    <sheet name="A9-Estab Costs" sheetId="3" r:id="rId8"/>
    <sheet name="A10-Full Prod Costs" sheetId="6" r:id="rId9"/>
    <sheet name="A11-Salv Value &amp; Dep Costs" sheetId="14" r:id="rId10"/>
    <sheet name="A12-Amort Calc" sheetId="8" r:id="rId11"/>
    <sheet name="A13-Data for tables" sheetId="13" r:id="rId12"/>
    <sheet name="A14-NPV&amp;Payback Pd" sheetId="15" r:id="rId13"/>
  </sheets>
  <definedNames>
    <definedName name="_xlnm.Print_Area" localSheetId="11">'A13-Data for tables'!$A$1:$H$49</definedName>
    <definedName name="_xlnm.Print_Area" localSheetId="1">'A2-Cider Apple Budget'!$B$2:$I$65</definedName>
    <definedName name="_xlnm.Print_Area" localSheetId="4">'A5-Mach. Equip. &amp; Build. Req.'!$B$2:$H$23</definedName>
    <definedName name="_xlnm.Print_Area" localSheetId="0">Intro!$B$2:$L$35</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U41" i="15"/>
  <c r="M41"/>
  <c r="C12" i="13"/>
  <c r="C3"/>
  <c r="D3" s="1"/>
  <c r="E3" s="1"/>
  <c r="F3" s="1"/>
  <c r="G3" l="1"/>
  <c r="D16" i="16"/>
  <c r="U42" i="15"/>
  <c r="M42"/>
  <c r="F39"/>
  <c r="F38"/>
  <c r="F37"/>
  <c r="C4" i="8" l="1"/>
  <c r="E6" i="7"/>
  <c r="G5" i="1"/>
  <c r="F5"/>
  <c r="E5"/>
  <c r="D21" i="6"/>
  <c r="C21"/>
  <c r="D90" i="3"/>
  <c r="C90"/>
  <c r="D71"/>
  <c r="C71"/>
  <c r="E13" i="6" l="1"/>
  <c r="E8"/>
  <c r="G8" s="1"/>
  <c r="E7"/>
  <c r="G7" s="1"/>
  <c r="G20" i="1" s="1"/>
  <c r="E6" i="6"/>
  <c r="G6" s="1"/>
  <c r="E5"/>
  <c r="E4"/>
  <c r="E83" i="3"/>
  <c r="E78"/>
  <c r="G78" s="1"/>
  <c r="E77"/>
  <c r="G77" s="1"/>
  <c r="F20" i="1" s="1"/>
  <c r="E76" i="3"/>
  <c r="G76" s="1"/>
  <c r="E75"/>
  <c r="E74"/>
  <c r="E64"/>
  <c r="E58"/>
  <c r="G58" s="1"/>
  <c r="E20" i="1" s="1"/>
  <c r="E59" i="3"/>
  <c r="G59" s="1"/>
  <c r="E57"/>
  <c r="G57" s="1"/>
  <c r="E56"/>
  <c r="E55"/>
  <c r="E46"/>
  <c r="E42"/>
  <c r="G42" s="1"/>
  <c r="E41"/>
  <c r="G41" s="1"/>
  <c r="D20" i="1" s="1"/>
  <c r="E40" i="3"/>
  <c r="G40" s="1"/>
  <c r="E39"/>
  <c r="E38"/>
  <c r="E30"/>
  <c r="E29"/>
  <c r="E25"/>
  <c r="G25" s="1"/>
  <c r="E24"/>
  <c r="G24" s="1"/>
  <c r="C20" i="1" s="1"/>
  <c r="E23" i="3"/>
  <c r="G23" s="1"/>
  <c r="E22"/>
  <c r="E21"/>
  <c r="E10"/>
  <c r="E6" i="1" l="1"/>
  <c r="F36" i="15" l="1"/>
  <c r="F40"/>
  <c r="U39"/>
  <c r="U38"/>
  <c r="U37"/>
  <c r="U40" l="1"/>
  <c r="M37"/>
  <c r="M38"/>
  <c r="M36"/>
  <c r="U36"/>
  <c r="M40"/>
  <c r="M39"/>
  <c r="E9" i="3" l="1"/>
  <c r="I14" i="15" l="1"/>
  <c r="I13"/>
  <c r="I12"/>
  <c r="I11"/>
  <c r="I10"/>
  <c r="H10"/>
  <c r="I15" l="1"/>
  <c r="I16"/>
  <c r="I17"/>
  <c r="I18"/>
  <c r="I19"/>
  <c r="I20"/>
  <c r="I21"/>
  <c r="I22"/>
  <c r="I23"/>
  <c r="I24"/>
  <c r="I25"/>
  <c r="I26"/>
  <c r="I27"/>
  <c r="I28"/>
  <c r="I29"/>
  <c r="I30"/>
  <c r="I31"/>
  <c r="I32"/>
  <c r="I33"/>
  <c r="I34"/>
  <c r="E6" i="3"/>
  <c r="G6" s="1"/>
  <c r="F6"/>
  <c r="E16"/>
  <c r="E18"/>
  <c r="E19"/>
  <c r="E20"/>
  <c r="E8"/>
  <c r="C12"/>
  <c r="L6"/>
  <c r="D13" s="1"/>
  <c r="G21"/>
  <c r="G22"/>
  <c r="C16" i="1" s="1"/>
  <c r="G29" i="3"/>
  <c r="E26"/>
  <c r="G26" s="1"/>
  <c r="C22" i="1" s="1"/>
  <c r="E27" i="3"/>
  <c r="G27" s="1"/>
  <c r="E28"/>
  <c r="G28" s="1"/>
  <c r="E31"/>
  <c r="G31" s="1"/>
  <c r="C28" i="1" s="1"/>
  <c r="E32" i="3"/>
  <c r="G32" s="1"/>
  <c r="C47" i="1" s="1"/>
  <c r="E33" i="3"/>
  <c r="G33" s="1"/>
  <c r="E34"/>
  <c r="G34" s="1"/>
  <c r="C49" i="1" s="1"/>
  <c r="E35" i="3"/>
  <c r="G35" s="1"/>
  <c r="C50" i="1" s="1"/>
  <c r="Q10" i="15"/>
  <c r="P10"/>
  <c r="G38" i="3"/>
  <c r="G39"/>
  <c r="D16" i="1" s="1"/>
  <c r="G46" i="3"/>
  <c r="E43"/>
  <c r="G43" s="1"/>
  <c r="E44"/>
  <c r="G44" s="1"/>
  <c r="E45"/>
  <c r="G45" s="1"/>
  <c r="E47"/>
  <c r="G47" s="1"/>
  <c r="E48"/>
  <c r="G48" s="1"/>
  <c r="D28" i="1" s="1"/>
  <c r="E49" i="3"/>
  <c r="G49" s="1"/>
  <c r="D47" i="1" s="1"/>
  <c r="E50" i="3"/>
  <c r="G50" s="1"/>
  <c r="E51"/>
  <c r="G51" s="1"/>
  <c r="D49" i="1" s="1"/>
  <c r="E52" i="3"/>
  <c r="G52" s="1"/>
  <c r="D50" i="1" s="1"/>
  <c r="Q11" i="15"/>
  <c r="B11"/>
  <c r="G55" i="3"/>
  <c r="G56"/>
  <c r="E16" i="1" s="1"/>
  <c r="G64" i="3"/>
  <c r="C60"/>
  <c r="D60"/>
  <c r="E61"/>
  <c r="G61" s="1"/>
  <c r="E62"/>
  <c r="G62" s="1"/>
  <c r="E63"/>
  <c r="G63" s="1"/>
  <c r="E66"/>
  <c r="G66" s="1"/>
  <c r="E28" i="1" s="1"/>
  <c r="E67" i="3"/>
  <c r="G67" s="1"/>
  <c r="E68"/>
  <c r="G68" s="1"/>
  <c r="E48" i="1" s="1"/>
  <c r="E69" i="3"/>
  <c r="G69" s="1"/>
  <c r="E70"/>
  <c r="G70" s="1"/>
  <c r="E50" i="1" s="1"/>
  <c r="C12" i="15"/>
  <c r="Q12" s="1"/>
  <c r="G74" i="3"/>
  <c r="F15" i="1" s="1"/>
  <c r="G75" i="3"/>
  <c r="G83"/>
  <c r="F17" i="1" s="1"/>
  <c r="C79" i="3"/>
  <c r="D79"/>
  <c r="E80"/>
  <c r="G80" s="1"/>
  <c r="F22" i="1" s="1"/>
  <c r="E81" i="3"/>
  <c r="G81" s="1"/>
  <c r="E82"/>
  <c r="G82" s="1"/>
  <c r="E85"/>
  <c r="G85" s="1"/>
  <c r="F28" i="1" s="1"/>
  <c r="E86" i="3"/>
  <c r="G86" s="1"/>
  <c r="E87"/>
  <c r="G87" s="1"/>
  <c r="F48" i="1" s="1"/>
  <c r="E88" i="3"/>
  <c r="G88" s="1"/>
  <c r="F49" i="1" s="1"/>
  <c r="E89" i="3"/>
  <c r="G89" s="1"/>
  <c r="F50" i="1" s="1"/>
  <c r="C13" i="15"/>
  <c r="Q13" s="1"/>
  <c r="G4" i="6"/>
  <c r="G15" i="1" s="1"/>
  <c r="G5" i="6"/>
  <c r="G13"/>
  <c r="G17" i="1" s="1"/>
  <c r="C9" i="6"/>
  <c r="D9"/>
  <c r="E10"/>
  <c r="G10" s="1"/>
  <c r="E11"/>
  <c r="G11" s="1"/>
  <c r="E12"/>
  <c r="G12" s="1"/>
  <c r="E15"/>
  <c r="G15" s="1"/>
  <c r="E16"/>
  <c r="G16" s="1"/>
  <c r="G47" i="1" s="1"/>
  <c r="E17" i="6"/>
  <c r="G17" s="1"/>
  <c r="G48" i="1" s="1"/>
  <c r="E18" i="6"/>
  <c r="G18" s="1"/>
  <c r="E19"/>
  <c r="G19" s="1"/>
  <c r="G50" i="1" s="1"/>
  <c r="F7" i="6"/>
  <c r="H7" s="1"/>
  <c r="C14" i="15"/>
  <c r="Q14" s="1"/>
  <c r="F4" i="11"/>
  <c r="F5"/>
  <c r="C6" i="14" s="1"/>
  <c r="F6" s="1"/>
  <c r="G6" s="1"/>
  <c r="F6" i="11"/>
  <c r="C7" i="14" s="1"/>
  <c r="F7" s="1"/>
  <c r="G7" s="1"/>
  <c r="F7" i="11"/>
  <c r="C8" i="14" s="1"/>
  <c r="F8" s="1"/>
  <c r="G8" s="1"/>
  <c r="F8" i="11"/>
  <c r="C9" i="14" s="1"/>
  <c r="F9" s="1"/>
  <c r="G9" s="1"/>
  <c r="F9" i="11"/>
  <c r="C10" i="14" s="1"/>
  <c r="F10" s="1"/>
  <c r="G10" s="1"/>
  <c r="F10" i="11"/>
  <c r="C11" i="14" s="1"/>
  <c r="F11" s="1"/>
  <c r="G11" s="1"/>
  <c r="F11" i="11"/>
  <c r="C12" i="14" s="1"/>
  <c r="F12" s="1"/>
  <c r="G12" s="1"/>
  <c r="F12" i="11"/>
  <c r="C13" i="14" s="1"/>
  <c r="F13" s="1"/>
  <c r="G13" s="1"/>
  <c r="F13" i="11"/>
  <c r="C14" i="14" s="1"/>
  <c r="F14" s="1"/>
  <c r="G14" s="1"/>
  <c r="F14" i="11"/>
  <c r="C15" i="14" s="1"/>
  <c r="F15" s="1"/>
  <c r="G15" s="1"/>
  <c r="F15" i="11"/>
  <c r="C16" i="14" s="1"/>
  <c r="F16" s="1"/>
  <c r="G16" s="1"/>
  <c r="E15" i="3"/>
  <c r="C8" i="7"/>
  <c r="D18"/>
  <c r="D19"/>
  <c r="E4"/>
  <c r="E5"/>
  <c r="E7"/>
  <c r="E8" i="1"/>
  <c r="F6"/>
  <c r="F8" s="1"/>
  <c r="C5" i="8"/>
  <c r="C12" i="9"/>
  <c r="C13"/>
  <c r="G6" i="1"/>
  <c r="G17" i="3" l="1"/>
  <c r="F58"/>
  <c r="H58" s="1"/>
  <c r="F77"/>
  <c r="H77" s="1"/>
  <c r="F24"/>
  <c r="H24" s="1"/>
  <c r="F41"/>
  <c r="H41" s="1"/>
  <c r="F17" i="6"/>
  <c r="H17" s="1"/>
  <c r="G7" i="3"/>
  <c r="C12" i="1" s="1"/>
  <c r="F16" i="11"/>
  <c r="C6" i="7" s="1"/>
  <c r="C19" i="15"/>
  <c r="Q19" s="1"/>
  <c r="C17"/>
  <c r="Q17" s="1"/>
  <c r="C16"/>
  <c r="Q16" s="1"/>
  <c r="F15" i="6"/>
  <c r="H15" s="1"/>
  <c r="C19" i="1"/>
  <c r="F8" i="6"/>
  <c r="H8" s="1"/>
  <c r="F16"/>
  <c r="H16" s="1"/>
  <c r="D19" i="1"/>
  <c r="E84" i="3"/>
  <c r="G84" s="1"/>
  <c r="F27" i="1" s="1"/>
  <c r="F19"/>
  <c r="F31" i="3"/>
  <c r="H31" s="1"/>
  <c r="F19" i="6"/>
  <c r="H19" s="1"/>
  <c r="F10"/>
  <c r="H10" s="1"/>
  <c r="F4"/>
  <c r="H4" s="1"/>
  <c r="F11"/>
  <c r="H11" s="1"/>
  <c r="F9"/>
  <c r="F18" i="1"/>
  <c r="E65" i="3"/>
  <c r="G65" s="1"/>
  <c r="E27" i="1" s="1"/>
  <c r="F64" i="3"/>
  <c r="H64" s="1"/>
  <c r="F56"/>
  <c r="H56" s="1"/>
  <c r="F14" i="6"/>
  <c r="F33" i="3"/>
  <c r="H33" s="1"/>
  <c r="F23"/>
  <c r="H23" s="1"/>
  <c r="F13" i="6"/>
  <c r="H13" s="1"/>
  <c r="G30" i="3"/>
  <c r="C27" i="1" s="1"/>
  <c r="F18" i="6"/>
  <c r="H18" s="1"/>
  <c r="F5"/>
  <c r="H5" s="1"/>
  <c r="E13" i="2"/>
  <c r="E14" i="6"/>
  <c r="G14" s="1"/>
  <c r="G27" i="1" s="1"/>
  <c r="F21" i="6"/>
  <c r="F6"/>
  <c r="H6" s="1"/>
  <c r="F81" i="3"/>
  <c r="H81" s="1"/>
  <c r="F40"/>
  <c r="H40" s="1"/>
  <c r="F12" i="6"/>
  <c r="H12" s="1"/>
  <c r="E60" i="3"/>
  <c r="G60" s="1"/>
  <c r="E21" i="1" s="1"/>
  <c r="F22" i="3"/>
  <c r="H22" s="1"/>
  <c r="F47"/>
  <c r="H47" s="1"/>
  <c r="D13" i="2"/>
  <c r="F59" i="3"/>
  <c r="H59" s="1"/>
  <c r="F68"/>
  <c r="H68" s="1"/>
  <c r="F78"/>
  <c r="H78" s="1"/>
  <c r="F67"/>
  <c r="H67" s="1"/>
  <c r="F46"/>
  <c r="H46" s="1"/>
  <c r="F86"/>
  <c r="H86" s="1"/>
  <c r="F49"/>
  <c r="H49" s="1"/>
  <c r="F90"/>
  <c r="D12"/>
  <c r="E12" s="1"/>
  <c r="F50"/>
  <c r="H50" s="1"/>
  <c r="F89"/>
  <c r="H89" s="1"/>
  <c r="G19" i="1"/>
  <c r="E79" i="3"/>
  <c r="G79" s="1"/>
  <c r="F21" i="1" s="1"/>
  <c r="E19"/>
  <c r="E9" i="6"/>
  <c r="G9" s="1"/>
  <c r="G21" i="1" s="1"/>
  <c r="E90" i="3"/>
  <c r="G90" s="1"/>
  <c r="F25" i="1" s="1"/>
  <c r="G14" i="3"/>
  <c r="F44"/>
  <c r="H44" s="1"/>
  <c r="F34"/>
  <c r="H34" s="1"/>
  <c r="F80"/>
  <c r="H80" s="1"/>
  <c r="F84"/>
  <c r="F57"/>
  <c r="H57" s="1"/>
  <c r="F61"/>
  <c r="H61" s="1"/>
  <c r="E21" i="6"/>
  <c r="G21" s="1"/>
  <c r="G25" i="1" s="1"/>
  <c r="F14" i="3"/>
  <c r="F39"/>
  <c r="H39" s="1"/>
  <c r="F83"/>
  <c r="H83" s="1"/>
  <c r="C13" i="2"/>
  <c r="F13"/>
  <c r="F26" i="3"/>
  <c r="H26" s="1"/>
  <c r="F35"/>
  <c r="H35" s="1"/>
  <c r="D18" i="1"/>
  <c r="G8"/>
  <c r="G13" i="2" s="1"/>
  <c r="E71" i="3"/>
  <c r="G71" s="1"/>
  <c r="E25" i="1" s="1"/>
  <c r="D22"/>
  <c r="G22"/>
  <c r="G49"/>
  <c r="C17"/>
  <c r="G28"/>
  <c r="F23"/>
  <c r="E22"/>
  <c r="E13" i="3"/>
  <c r="C33" i="15"/>
  <c r="Q33" s="1"/>
  <c r="F62" i="3"/>
  <c r="H62" s="1"/>
  <c r="F27"/>
  <c r="H27" s="1"/>
  <c r="F43"/>
  <c r="H43" s="1"/>
  <c r="F45"/>
  <c r="H45" s="1"/>
  <c r="F21"/>
  <c r="H21" s="1"/>
  <c r="F71"/>
  <c r="F66"/>
  <c r="H66" s="1"/>
  <c r="F42"/>
  <c r="H42" s="1"/>
  <c r="F30"/>
  <c r="F52"/>
  <c r="H52" s="1"/>
  <c r="F7"/>
  <c r="C28" i="15"/>
  <c r="Q28" s="1"/>
  <c r="E18" i="1"/>
  <c r="P11" i="15"/>
  <c r="H11"/>
  <c r="F17" i="3"/>
  <c r="F38"/>
  <c r="H38" s="1"/>
  <c r="F65"/>
  <c r="F25"/>
  <c r="H25" s="1"/>
  <c r="F88"/>
  <c r="H88" s="1"/>
  <c r="F74"/>
  <c r="H74" s="1"/>
  <c r="F75"/>
  <c r="H75" s="1"/>
  <c r="F69"/>
  <c r="H69" s="1"/>
  <c r="C5" i="14"/>
  <c r="C18" i="15"/>
  <c r="Q18" s="1"/>
  <c r="F79" i="3"/>
  <c r="F11"/>
  <c r="F51"/>
  <c r="H51" s="1"/>
  <c r="C31" i="15"/>
  <c r="Q31" s="1"/>
  <c r="F82" i="3"/>
  <c r="H82" s="1"/>
  <c r="F55"/>
  <c r="H55" s="1"/>
  <c r="F60"/>
  <c r="F48"/>
  <c r="H48" s="1"/>
  <c r="F87"/>
  <c r="H87" s="1"/>
  <c r="F70"/>
  <c r="H70" s="1"/>
  <c r="F76"/>
  <c r="H76" s="1"/>
  <c r="F29"/>
  <c r="H29" s="1"/>
  <c r="F28"/>
  <c r="H28" s="1"/>
  <c r="F85"/>
  <c r="H85" s="1"/>
  <c r="F63"/>
  <c r="H63" s="1"/>
  <c r="F32"/>
  <c r="H32" s="1"/>
  <c r="C29" i="15"/>
  <c r="Q29" s="1"/>
  <c r="G23" i="1"/>
  <c r="F16"/>
  <c r="E47"/>
  <c r="E23"/>
  <c r="E17"/>
  <c r="D48"/>
  <c r="D17"/>
  <c r="C23"/>
  <c r="G16"/>
  <c r="F47"/>
  <c r="E49"/>
  <c r="E15"/>
  <c r="D27"/>
  <c r="D23"/>
  <c r="D15"/>
  <c r="C48"/>
  <c r="C15"/>
  <c r="H6" i="3"/>
  <c r="C32" i="15"/>
  <c r="C30"/>
  <c r="C27"/>
  <c r="C26"/>
  <c r="C34"/>
  <c r="C25"/>
  <c r="C24"/>
  <c r="C23"/>
  <c r="C22"/>
  <c r="C21"/>
  <c r="C20"/>
  <c r="C15"/>
  <c r="B12"/>
  <c r="H12" s="1"/>
  <c r="H30" i="3" l="1"/>
  <c r="H84"/>
  <c r="H65"/>
  <c r="H90"/>
  <c r="H14" i="6"/>
  <c r="H9"/>
  <c r="H60" i="3"/>
  <c r="H79"/>
  <c r="H21" i="6"/>
  <c r="G11" i="3"/>
  <c r="C13" i="1" s="1"/>
  <c r="G18"/>
  <c r="G30" s="1"/>
  <c r="G31" s="1"/>
  <c r="C18"/>
  <c r="H7" i="3"/>
  <c r="H14"/>
  <c r="H17"/>
  <c r="H71"/>
  <c r="C9" i="2"/>
  <c r="F5" i="14"/>
  <c r="F17" s="1"/>
  <c r="C17"/>
  <c r="F30" i="1"/>
  <c r="F31" s="1"/>
  <c r="F33" s="1"/>
  <c r="D30"/>
  <c r="D31" s="1"/>
  <c r="D33" s="1"/>
  <c r="C6" i="2"/>
  <c r="C5" i="7"/>
  <c r="F5" s="1"/>
  <c r="G5" s="1"/>
  <c r="E30" i="1"/>
  <c r="E31" s="1"/>
  <c r="Q20" i="15"/>
  <c r="Q22"/>
  <c r="Q24"/>
  <c r="Q34"/>
  <c r="Q27"/>
  <c r="Q30"/>
  <c r="B13"/>
  <c r="B14" s="1"/>
  <c r="B15" s="1"/>
  <c r="B16" s="1"/>
  <c r="B17" s="1"/>
  <c r="B18" s="1"/>
  <c r="B19" s="1"/>
  <c r="B20" s="1"/>
  <c r="B21" s="1"/>
  <c r="B22" s="1"/>
  <c r="B23" s="1"/>
  <c r="B24" s="1"/>
  <c r="B25" s="1"/>
  <c r="B26" s="1"/>
  <c r="B27" s="1"/>
  <c r="B28" s="1"/>
  <c r="B29" s="1"/>
  <c r="B30" s="1"/>
  <c r="B31" s="1"/>
  <c r="B32" s="1"/>
  <c r="B33" s="1"/>
  <c r="B34" s="1"/>
  <c r="P12"/>
  <c r="Q15"/>
  <c r="Q21"/>
  <c r="Q23"/>
  <c r="Q25"/>
  <c r="Q26"/>
  <c r="Q32"/>
  <c r="H13" l="1"/>
  <c r="G33" i="1"/>
  <c r="J13" i="15"/>
  <c r="K13" s="1"/>
  <c r="J11"/>
  <c r="K11" s="1"/>
  <c r="L11" s="1"/>
  <c r="H11" i="3"/>
  <c r="C30" i="1"/>
  <c r="C31" s="1"/>
  <c r="C8" i="2"/>
  <c r="C4" i="7"/>
  <c r="C7" i="2"/>
  <c r="C7" i="7"/>
  <c r="D6"/>
  <c r="F6" s="1"/>
  <c r="G6" s="1"/>
  <c r="G5" i="14"/>
  <c r="G17" s="1"/>
  <c r="H17" s="1"/>
  <c r="F10" i="2"/>
  <c r="F11" s="1"/>
  <c r="C42" i="1"/>
  <c r="D42"/>
  <c r="E42"/>
  <c r="G42"/>
  <c r="F42"/>
  <c r="D10" i="2"/>
  <c r="D11" s="1"/>
  <c r="E33" i="1"/>
  <c r="P13" i="15"/>
  <c r="J14" l="1"/>
  <c r="J29" s="1"/>
  <c r="K29" s="1"/>
  <c r="D5" i="16"/>
  <c r="L13" i="15"/>
  <c r="G10" i="2"/>
  <c r="G11" s="1"/>
  <c r="D14" i="15" s="1"/>
  <c r="J12"/>
  <c r="K12" s="1"/>
  <c r="L12" s="1"/>
  <c r="G20" i="7"/>
  <c r="C33" i="1"/>
  <c r="J10" i="15" s="1"/>
  <c r="F7" i="7"/>
  <c r="G7" s="1"/>
  <c r="C19"/>
  <c r="E19" s="1"/>
  <c r="G19" s="1"/>
  <c r="F4"/>
  <c r="G4" s="1"/>
  <c r="C18"/>
  <c r="E18" s="1"/>
  <c r="G18" s="1"/>
  <c r="F43" i="1"/>
  <c r="G43"/>
  <c r="E43"/>
  <c r="C43"/>
  <c r="D43"/>
  <c r="D11" i="15"/>
  <c r="D15" i="2"/>
  <c r="D13" i="15"/>
  <c r="F15" i="2"/>
  <c r="E10"/>
  <c r="E11" s="1"/>
  <c r="H14" i="15"/>
  <c r="J27" l="1"/>
  <c r="K27" s="1"/>
  <c r="D7" i="16"/>
  <c r="E7" s="1"/>
  <c r="E5"/>
  <c r="K14" i="15"/>
  <c r="L14" s="1"/>
  <c r="J25"/>
  <c r="K25" s="1"/>
  <c r="J31"/>
  <c r="K31" s="1"/>
  <c r="J34"/>
  <c r="K34" s="1"/>
  <c r="J30"/>
  <c r="K30" s="1"/>
  <c r="J20"/>
  <c r="K20" s="1"/>
  <c r="J17"/>
  <c r="K17" s="1"/>
  <c r="J32"/>
  <c r="K32" s="1"/>
  <c r="J19"/>
  <c r="K19" s="1"/>
  <c r="J21"/>
  <c r="K21" s="1"/>
  <c r="J23"/>
  <c r="K23" s="1"/>
  <c r="J18"/>
  <c r="K18" s="1"/>
  <c r="J28"/>
  <c r="K28" s="1"/>
  <c r="J24"/>
  <c r="K24" s="1"/>
  <c r="J16"/>
  <c r="K16" s="1"/>
  <c r="J22"/>
  <c r="K22" s="1"/>
  <c r="J26"/>
  <c r="K26" s="1"/>
  <c r="J33"/>
  <c r="K33" s="1"/>
  <c r="J15"/>
  <c r="K15" s="1"/>
  <c r="G15" i="2"/>
  <c r="C10"/>
  <c r="C11" s="1"/>
  <c r="D10" i="15" s="1"/>
  <c r="R10" s="1"/>
  <c r="S10" s="1"/>
  <c r="T10" s="1"/>
  <c r="K10"/>
  <c r="L10" s="1"/>
  <c r="F38" i="1"/>
  <c r="G38"/>
  <c r="E38"/>
  <c r="C38"/>
  <c r="D38"/>
  <c r="C37"/>
  <c r="G37"/>
  <c r="F37"/>
  <c r="D37"/>
  <c r="E37"/>
  <c r="G41"/>
  <c r="D41"/>
  <c r="C41"/>
  <c r="F41"/>
  <c r="E41"/>
  <c r="C39"/>
  <c r="F39"/>
  <c r="E39"/>
  <c r="D39"/>
  <c r="G39"/>
  <c r="G44"/>
  <c r="D44"/>
  <c r="F44"/>
  <c r="C44"/>
  <c r="E44"/>
  <c r="R13" i="15"/>
  <c r="S13" s="1"/>
  <c r="T13" s="1"/>
  <c r="E13"/>
  <c r="F13" s="1"/>
  <c r="R14"/>
  <c r="S14" s="1"/>
  <c r="D16"/>
  <c r="D17"/>
  <c r="D18"/>
  <c r="D19"/>
  <c r="D20"/>
  <c r="D22"/>
  <c r="D24"/>
  <c r="D34"/>
  <c r="D27"/>
  <c r="D15"/>
  <c r="D21"/>
  <c r="D23"/>
  <c r="D25"/>
  <c r="D26"/>
  <c r="D28"/>
  <c r="D29"/>
  <c r="D30"/>
  <c r="D31"/>
  <c r="D32"/>
  <c r="D33"/>
  <c r="E14"/>
  <c r="F14" s="1"/>
  <c r="R11"/>
  <c r="S11" s="1"/>
  <c r="T11" s="1"/>
  <c r="E11"/>
  <c r="F11" s="1"/>
  <c r="D12"/>
  <c r="E15" i="2"/>
  <c r="P14" i="15"/>
  <c r="H15"/>
  <c r="D10" i="16" l="1"/>
  <c r="E10" s="1"/>
  <c r="L15" i="15"/>
  <c r="M15" s="1"/>
  <c r="M14"/>
  <c r="C53" i="1"/>
  <c r="C55" s="1"/>
  <c r="C59" s="1"/>
  <c r="D45" s="1"/>
  <c r="D53" s="1"/>
  <c r="D55" s="1"/>
  <c r="D57" s="1"/>
  <c r="C15" i="2"/>
  <c r="E10" i="15"/>
  <c r="F10" s="1"/>
  <c r="M10"/>
  <c r="M11"/>
  <c r="M12"/>
  <c r="M13"/>
  <c r="T14"/>
  <c r="R12"/>
  <c r="S12" s="1"/>
  <c r="T12" s="1"/>
  <c r="U13" s="1"/>
  <c r="E12"/>
  <c r="F12" s="1"/>
  <c r="U10"/>
  <c r="U11"/>
  <c r="R33"/>
  <c r="S33" s="1"/>
  <c r="E33"/>
  <c r="R31"/>
  <c r="S31" s="1"/>
  <c r="E31"/>
  <c r="R29"/>
  <c r="S29" s="1"/>
  <c r="E29"/>
  <c r="R26"/>
  <c r="S26" s="1"/>
  <c r="E26"/>
  <c r="R23"/>
  <c r="S23" s="1"/>
  <c r="E23"/>
  <c r="R15"/>
  <c r="S15" s="1"/>
  <c r="E15"/>
  <c r="F15" s="1"/>
  <c r="R34"/>
  <c r="S34" s="1"/>
  <c r="E34"/>
  <c r="R22"/>
  <c r="S22" s="1"/>
  <c r="E22"/>
  <c r="R19"/>
  <c r="S19" s="1"/>
  <c r="E19"/>
  <c r="R17"/>
  <c r="S17" s="1"/>
  <c r="E17"/>
  <c r="R32"/>
  <c r="S32" s="1"/>
  <c r="E32"/>
  <c r="R30"/>
  <c r="S30" s="1"/>
  <c r="E30"/>
  <c r="R28"/>
  <c r="S28" s="1"/>
  <c r="E28"/>
  <c r="R25"/>
  <c r="S25" s="1"/>
  <c r="E25"/>
  <c r="R21"/>
  <c r="S21" s="1"/>
  <c r="E21"/>
  <c r="R27"/>
  <c r="S27" s="1"/>
  <c r="E27"/>
  <c r="R24"/>
  <c r="S24" s="1"/>
  <c r="E24"/>
  <c r="R20"/>
  <c r="S20" s="1"/>
  <c r="E20"/>
  <c r="R18"/>
  <c r="S18" s="1"/>
  <c r="E18"/>
  <c r="R16"/>
  <c r="S16" s="1"/>
  <c r="E16"/>
  <c r="P15"/>
  <c r="H16"/>
  <c r="C57" i="1" l="1"/>
  <c r="D59"/>
  <c r="E45" s="1"/>
  <c r="E53" s="1"/>
  <c r="E55" s="1"/>
  <c r="E57" s="1"/>
  <c r="T15" i="15"/>
  <c r="U15" s="1"/>
  <c r="U14"/>
  <c r="L16"/>
  <c r="U12"/>
  <c r="P16"/>
  <c r="T16" s="1"/>
  <c r="H17"/>
  <c r="L17" s="1"/>
  <c r="F16"/>
  <c r="E59" i="1" l="1"/>
  <c r="F45" s="1"/>
  <c r="F53" s="1"/>
  <c r="F55" s="1"/>
  <c r="F57" s="1"/>
  <c r="U16" i="15"/>
  <c r="M17"/>
  <c r="M16"/>
  <c r="P17"/>
  <c r="T17" s="1"/>
  <c r="H18"/>
  <c r="L18" s="1"/>
  <c r="M18" s="1"/>
  <c r="F17"/>
  <c r="F59" i="1" l="1"/>
  <c r="C3" i="8" s="1"/>
  <c r="U17" i="15"/>
  <c r="P18"/>
  <c r="T18" s="1"/>
  <c r="H19"/>
  <c r="L19" s="1"/>
  <c r="F18"/>
  <c r="M19" l="1"/>
  <c r="U18"/>
  <c r="P19"/>
  <c r="T19" s="1"/>
  <c r="U19" s="1"/>
  <c r="H20"/>
  <c r="L20" s="1"/>
  <c r="M20" s="1"/>
  <c r="F19"/>
  <c r="C7" i="8" l="1"/>
  <c r="P20" i="15"/>
  <c r="T20" s="1"/>
  <c r="U20" s="1"/>
  <c r="H21"/>
  <c r="L21" s="1"/>
  <c r="M21" s="1"/>
  <c r="F20"/>
  <c r="G51" i="1" l="1"/>
  <c r="G53" s="1"/>
  <c r="H22" i="15"/>
  <c r="L22" s="1"/>
  <c r="P21"/>
  <c r="T21" s="1"/>
  <c r="U21" s="1"/>
  <c r="F21"/>
  <c r="G55" i="1" l="1"/>
  <c r="E5" i="9"/>
  <c r="G8"/>
  <c r="F7"/>
  <c r="C9"/>
  <c r="G10"/>
  <c r="E8"/>
  <c r="H6"/>
  <c r="E10"/>
  <c r="D9"/>
  <c r="D8"/>
  <c r="G7"/>
  <c r="F11"/>
  <c r="G11"/>
  <c r="E9"/>
  <c r="D11"/>
  <c r="C5"/>
  <c r="F10"/>
  <c r="C8"/>
  <c r="F6"/>
  <c r="H7"/>
  <c r="G9"/>
  <c r="D7"/>
  <c r="F9"/>
  <c r="D5"/>
  <c r="F8"/>
  <c r="G5"/>
  <c r="C7"/>
  <c r="E11"/>
  <c r="H10"/>
  <c r="D10"/>
  <c r="E7"/>
  <c r="D6"/>
  <c r="C10"/>
  <c r="E6"/>
  <c r="H8"/>
  <c r="G6"/>
  <c r="H9"/>
  <c r="F5"/>
  <c r="C6"/>
  <c r="C11"/>
  <c r="H5"/>
  <c r="H11"/>
  <c r="M22" i="15"/>
  <c r="H23"/>
  <c r="L23" s="1"/>
  <c r="M23" s="1"/>
  <c r="P22"/>
  <c r="T22" s="1"/>
  <c r="U22" s="1"/>
  <c r="F22"/>
  <c r="G57" i="1" l="1"/>
  <c r="D13" i="16"/>
  <c r="E13" s="1"/>
  <c r="H24" i="15"/>
  <c r="L24" s="1"/>
  <c r="M24" s="1"/>
  <c r="P23"/>
  <c r="T23" s="1"/>
  <c r="U23" s="1"/>
  <c r="F23"/>
  <c r="H25" l="1"/>
  <c r="L25" s="1"/>
  <c r="P24"/>
  <c r="T24" s="1"/>
  <c r="U24" s="1"/>
  <c r="F24"/>
  <c r="M25" l="1"/>
  <c r="H26"/>
  <c r="L26" s="1"/>
  <c r="M26" s="1"/>
  <c r="P25"/>
  <c r="T25" s="1"/>
  <c r="U25" s="1"/>
  <c r="F25"/>
  <c r="P26" l="1"/>
  <c r="T26" s="1"/>
  <c r="U26" s="1"/>
  <c r="H27"/>
  <c r="L27" s="1"/>
  <c r="M27" s="1"/>
  <c r="F26"/>
  <c r="H28" l="1"/>
  <c r="L28" s="1"/>
  <c r="P27"/>
  <c r="T27" s="1"/>
  <c r="U27" s="1"/>
  <c r="F27"/>
  <c r="M28" l="1"/>
  <c r="H29"/>
  <c r="L29" s="1"/>
  <c r="M29" s="1"/>
  <c r="P28"/>
  <c r="T28" s="1"/>
  <c r="U28" s="1"/>
  <c r="F28"/>
  <c r="H30" l="1"/>
  <c r="L30" s="1"/>
  <c r="M30" s="1"/>
  <c r="P29"/>
  <c r="T29" s="1"/>
  <c r="U29" s="1"/>
  <c r="F29"/>
  <c r="P30" l="1"/>
  <c r="T30" s="1"/>
  <c r="U30" s="1"/>
  <c r="H31"/>
  <c r="L31" s="1"/>
  <c r="M31" s="1"/>
  <c r="F30"/>
  <c r="H32" l="1"/>
  <c r="L32" s="1"/>
  <c r="M32" s="1"/>
  <c r="P31"/>
  <c r="T31" s="1"/>
  <c r="U31" s="1"/>
  <c r="F31"/>
  <c r="H33" l="1"/>
  <c r="L33" s="1"/>
  <c r="M33" s="1"/>
  <c r="P32"/>
  <c r="T32" s="1"/>
  <c r="U32" s="1"/>
  <c r="F32"/>
  <c r="H34" l="1"/>
  <c r="L34" s="1"/>
  <c r="M34" s="1"/>
  <c r="P33"/>
  <c r="T33" s="1"/>
  <c r="U33" s="1"/>
  <c r="F33"/>
  <c r="P34" l="1"/>
  <c r="T34" s="1"/>
  <c r="U34" s="1"/>
  <c r="F34"/>
  <c r="F41" s="1"/>
</calcChain>
</file>

<file path=xl/sharedStrings.xml><?xml version="1.0" encoding="utf-8"?>
<sst xmlns="http://schemas.openxmlformats.org/spreadsheetml/2006/main" count="569" uniqueCount="392">
  <si>
    <t>Establishment Years</t>
  </si>
  <si>
    <t xml:space="preserve"> Year 1</t>
  </si>
  <si>
    <t>Year 2</t>
  </si>
  <si>
    <t>Year 3</t>
  </si>
  <si>
    <t>Year 4</t>
  </si>
  <si>
    <t>Trellis System</t>
  </si>
  <si>
    <t>Irrigation System</t>
  </si>
  <si>
    <t>Mainline &amp; Pump</t>
  </si>
  <si>
    <t>Establishment</t>
  </si>
  <si>
    <t>Depreciation</t>
  </si>
  <si>
    <t>Trellis</t>
  </si>
  <si>
    <t>Orchard Activities</t>
  </si>
  <si>
    <t>Beehives</t>
  </si>
  <si>
    <t>Interest</t>
  </si>
  <si>
    <t>Irrigation/Electric Charge</t>
  </si>
  <si>
    <t>Land</t>
  </si>
  <si>
    <t>Other Fixed Costs</t>
  </si>
  <si>
    <t>Maintenance and Repairs</t>
  </si>
  <si>
    <t>Insurance Cost (all farm)</t>
  </si>
  <si>
    <t>Management Cost</t>
  </si>
  <si>
    <t>Total Fixed Costs</t>
  </si>
  <si>
    <t>Other Variable Costs</t>
  </si>
  <si>
    <t>TOTAL COSTS</t>
  </si>
  <si>
    <t>ESTIMATED NET RETURNS</t>
  </si>
  <si>
    <t>Total Variable Costs</t>
  </si>
  <si>
    <t>Accumulated Establishment Costs</t>
  </si>
  <si>
    <t>Year 1</t>
  </si>
  <si>
    <t xml:space="preserve">Trees </t>
  </si>
  <si>
    <t>wire</t>
  </si>
  <si>
    <t>picking (multiple picks)</t>
  </si>
  <si>
    <t>Units per Acre</t>
  </si>
  <si>
    <t>Number of Acres</t>
  </si>
  <si>
    <t>Cost per Unit ($)</t>
  </si>
  <si>
    <t>Cost per Acre ($)</t>
  </si>
  <si>
    <t>Total Cost Per Acre ($)</t>
  </si>
  <si>
    <t>Total Cost for Block ($)</t>
  </si>
  <si>
    <t>Interest Rate</t>
  </si>
  <si>
    <t>Total Purchase Price ($)</t>
  </si>
  <si>
    <t>Total Value Per Acre ($)</t>
  </si>
  <si>
    <t>Years of Use</t>
  </si>
  <si>
    <t>Soil Preparation</t>
  </si>
  <si>
    <t>Variable Costs ($/acre):</t>
  </si>
  <si>
    <t>Fixed Costs ($/acre):</t>
  </si>
  <si>
    <t>Dollar amount to be amortized</t>
  </si>
  <si>
    <t>Amortized Amount Per Year</t>
  </si>
  <si>
    <t>Total Cost</t>
  </si>
  <si>
    <t>Architecture</t>
  </si>
  <si>
    <t>1.</t>
  </si>
  <si>
    <t>2.</t>
  </si>
  <si>
    <t>3.</t>
  </si>
  <si>
    <t>4.</t>
  </si>
  <si>
    <t>Your Costs</t>
  </si>
  <si>
    <t>5.</t>
  </si>
  <si>
    <t>full sized trees (5/8" or better)</t>
  </si>
  <si>
    <t>Tree density per acre:</t>
  </si>
  <si>
    <t xml:space="preserve">Irrigation  </t>
  </si>
  <si>
    <t>installation labor</t>
  </si>
  <si>
    <t>6.</t>
  </si>
  <si>
    <t>Total acres in block:</t>
  </si>
  <si>
    <t>Productive block acres:</t>
  </si>
  <si>
    <t>Number of Units</t>
  </si>
  <si>
    <t>Land &amp; Property Taxes</t>
  </si>
  <si>
    <t>Instructions for Using the Spreadsheets</t>
  </si>
  <si>
    <r>
      <t xml:space="preserve">Values in </t>
    </r>
    <r>
      <rPr>
        <b/>
        <sz val="11"/>
        <rFont val="Times New Roman"/>
        <family val="1"/>
      </rPr>
      <t>black</t>
    </r>
    <r>
      <rPr>
        <sz val="11"/>
        <rFont val="Times New Roman"/>
        <family val="1"/>
      </rPr>
      <t xml:space="preserve"> are calculated using the input data and cannot be modified.</t>
    </r>
  </si>
  <si>
    <t xml:space="preserve">Budget Assumptions </t>
  </si>
  <si>
    <t>Insurance (all farm)</t>
  </si>
  <si>
    <t>Harvest Costs (per bin)</t>
  </si>
  <si>
    <t>Fuel &amp; Lube</t>
  </si>
  <si>
    <t>planting per tree (labor and tractor)</t>
  </si>
  <si>
    <t>labor</t>
  </si>
  <si>
    <t>materials</t>
  </si>
  <si>
    <t>Trees (including labor)</t>
  </si>
  <si>
    <t>Establishment Costs (5%)</t>
  </si>
  <si>
    <t>Total</t>
  </si>
  <si>
    <t>Overhead cost</t>
  </si>
  <si>
    <t>Interest cost</t>
  </si>
  <si>
    <t>7.</t>
  </si>
  <si>
    <t>Soil prep</t>
  </si>
  <si>
    <t>Trees</t>
  </si>
  <si>
    <t>Maintenance &amp; Repairs</t>
  </si>
  <si>
    <t>Chemicals</t>
  </si>
  <si>
    <t>Irrigation/electric charge</t>
  </si>
  <si>
    <t>Cost per bee hive</t>
  </si>
  <si>
    <t>Number of bee hives per acre</t>
  </si>
  <si>
    <t>Interest rate</t>
  </si>
  <si>
    <t>Establishment interest rate</t>
  </si>
  <si>
    <t>No. of years to borrow operating capital</t>
  </si>
  <si>
    <t>Total acres in block</t>
  </si>
  <si>
    <t>Total productive acres</t>
  </si>
  <si>
    <t>Planted trees per acre</t>
  </si>
  <si>
    <t>Total orchard acres</t>
  </si>
  <si>
    <t>Land cost</t>
  </si>
  <si>
    <t>Irrigation installation</t>
  </si>
  <si>
    <t>Irrigation</t>
  </si>
  <si>
    <t>Fertilizer after Soil Prep</t>
  </si>
  <si>
    <t>Pruning and training</t>
  </si>
  <si>
    <t>Green fruit thinning</t>
  </si>
  <si>
    <t>8.</t>
  </si>
  <si>
    <t>Tree cost per unit</t>
  </si>
  <si>
    <t xml:space="preserve">Irrigation </t>
  </si>
  <si>
    <t>Beehive</t>
  </si>
  <si>
    <t>Miscellaneous labor (lump sum)</t>
  </si>
  <si>
    <t xml:space="preserve">  </t>
  </si>
  <si>
    <t>laterals, sprinklers, sub-lines</t>
  </si>
  <si>
    <t xml:space="preserve">Interest on investment represents a 5% opportunity cost to the enterprise. These are forgone earnings for investing money in orchard, equipment and buildings rather than in an alternative activity. This also represents interest on funds borrowed to finance orchard, equipment, and building purchases. </t>
  </si>
  <si>
    <t>rip and disk ground (custom)</t>
  </si>
  <si>
    <t xml:space="preserve">Overhead </t>
  </si>
  <si>
    <t>Trellis (total cost)</t>
  </si>
  <si>
    <t>Installation labor</t>
  </si>
  <si>
    <t>Annual Requirements ($)</t>
  </si>
  <si>
    <t>Total Requirements ($)</t>
  </si>
  <si>
    <t>Receipts ($)</t>
  </si>
  <si>
    <t>Net Requirements ($)</t>
  </si>
  <si>
    <t>Tree density per acre</t>
  </si>
  <si>
    <t>Miscellaneous supplies (lump sum)</t>
  </si>
  <si>
    <t>Miscellaneous Supplies</t>
  </si>
  <si>
    <t>Mainline</t>
  </si>
  <si>
    <t>Total Cost ($)</t>
  </si>
  <si>
    <t>FOB Gross Prices per bin</t>
  </si>
  <si>
    <t>Gross Production per acre (number of bins)</t>
  </si>
  <si>
    <t>9.</t>
  </si>
  <si>
    <t>Notes:</t>
  </si>
  <si>
    <t>Shaded area denotes a positive profit based on the combination of yield and price.</t>
  </si>
  <si>
    <t>Machinery, Equipment &amp; Building</t>
  </si>
  <si>
    <t>Notes</t>
  </si>
  <si>
    <t>Irrigation system</t>
  </si>
  <si>
    <t>Machinery repair (lump sum)</t>
  </si>
  <si>
    <t xml:space="preserve">All other labor. Excludes pruning, training, thinning, chemical &amp; fertilizer application, planting, irrigation labor, harvest. </t>
  </si>
  <si>
    <t>Other</t>
  </si>
  <si>
    <t>Salvage Value</t>
  </si>
  <si>
    <t xml:space="preserve">Notes: </t>
  </si>
  <si>
    <t>Maintenance &amp; Repair</t>
  </si>
  <si>
    <t>Annual Depreciation Cost per Acre ($)</t>
  </si>
  <si>
    <t>Rip and disk ground (custom)</t>
  </si>
  <si>
    <t>Water</t>
  </si>
  <si>
    <t>Irrigation Water &amp; Electric Charge</t>
  </si>
  <si>
    <t>Irrigation Water</t>
  </si>
  <si>
    <t>cover crop (materials and labor)</t>
  </si>
  <si>
    <t>N/A</t>
  </si>
  <si>
    <t>Price</t>
  </si>
  <si>
    <t>Yield</t>
  </si>
  <si>
    <t>Year</t>
  </si>
  <si>
    <t>Gross Return</t>
  </si>
  <si>
    <t>Net Return</t>
  </si>
  <si>
    <t>Price per bin</t>
  </si>
  <si>
    <t>Yield Year 3</t>
  </si>
  <si>
    <t>Yield Year 4</t>
  </si>
  <si>
    <t>Yield Full Prod</t>
  </si>
  <si>
    <t>Prod area (acres)</t>
  </si>
  <si>
    <t>NPV</t>
  </si>
  <si>
    <t>d. rate*</t>
  </si>
  <si>
    <t xml:space="preserve">Calculate NPV </t>
  </si>
  <si>
    <t>Discounted Net Return</t>
  </si>
  <si>
    <t>Cumulative Discounted Net Return</t>
  </si>
  <si>
    <t>Payback period (years)</t>
  </si>
  <si>
    <r>
      <t>Net Yield (bins/acre)</t>
    </r>
    <r>
      <rPr>
        <b/>
        <vertAlign val="superscript"/>
        <sz val="11"/>
        <rFont val="Times New Roman"/>
        <family val="1"/>
      </rPr>
      <t>B</t>
    </r>
    <r>
      <rPr>
        <b/>
        <sz val="11"/>
        <rFont val="Times New Roman"/>
        <family val="1"/>
      </rPr>
      <t xml:space="preserve"> </t>
    </r>
  </si>
  <si>
    <r>
      <t>Full Production</t>
    </r>
    <r>
      <rPr>
        <b/>
        <vertAlign val="superscript"/>
        <sz val="11"/>
        <rFont val="Times New Roman"/>
        <family val="1"/>
      </rPr>
      <t>A</t>
    </r>
  </si>
  <si>
    <r>
      <t>Salvage Value ($)</t>
    </r>
    <r>
      <rPr>
        <b/>
        <vertAlign val="superscript"/>
        <sz val="11"/>
        <color indexed="8"/>
        <rFont val="Times New Roman"/>
        <family val="1"/>
      </rPr>
      <t>A</t>
    </r>
  </si>
  <si>
    <r>
      <t>Irrigation System</t>
    </r>
    <r>
      <rPr>
        <vertAlign val="superscript"/>
        <sz val="11"/>
        <rFont val="Times New Roman"/>
        <family val="1"/>
      </rPr>
      <t>C</t>
    </r>
  </si>
  <si>
    <r>
      <t>Trellis</t>
    </r>
    <r>
      <rPr>
        <vertAlign val="superscript"/>
        <sz val="11"/>
        <color indexed="8"/>
        <rFont val="Times New Roman"/>
        <family val="1"/>
      </rPr>
      <t>C</t>
    </r>
  </si>
  <si>
    <t>A. Not applied to land because land is not a depreciable asset.</t>
  </si>
  <si>
    <r>
      <t>Depreciation Cost Per Acre ($/yr)</t>
    </r>
    <r>
      <rPr>
        <b/>
        <vertAlign val="superscript"/>
        <sz val="11"/>
        <color indexed="8"/>
        <rFont val="Times New Roman"/>
        <family val="1"/>
      </rPr>
      <t>A</t>
    </r>
  </si>
  <si>
    <r>
      <t>Pruning and Training (labor)</t>
    </r>
    <r>
      <rPr>
        <vertAlign val="superscript"/>
        <sz val="11"/>
        <rFont val="Times New Roman"/>
        <family val="1"/>
      </rPr>
      <t>C</t>
    </r>
  </si>
  <si>
    <r>
      <t>Green Fruit Thinning (labor)</t>
    </r>
    <r>
      <rPr>
        <vertAlign val="superscript"/>
        <sz val="11"/>
        <rFont val="Times New Roman"/>
        <family val="1"/>
      </rPr>
      <t>C</t>
    </r>
  </si>
  <si>
    <r>
      <t>Chemicals</t>
    </r>
    <r>
      <rPr>
        <vertAlign val="superscript"/>
        <sz val="11"/>
        <rFont val="Times New Roman"/>
        <family val="1"/>
      </rPr>
      <t>D</t>
    </r>
  </si>
  <si>
    <r>
      <t>includes water rights</t>
    </r>
    <r>
      <rPr>
        <vertAlign val="superscript"/>
        <sz val="11"/>
        <color indexed="8"/>
        <rFont val="Times New Roman"/>
        <family val="1"/>
      </rPr>
      <t>A</t>
    </r>
  </si>
  <si>
    <t>Management overhead</t>
  </si>
  <si>
    <r>
      <t>Number of years</t>
    </r>
    <r>
      <rPr>
        <vertAlign val="superscript"/>
        <sz val="11"/>
        <color indexed="8"/>
        <rFont val="Times New Roman"/>
        <family val="1"/>
      </rPr>
      <t>A</t>
    </r>
  </si>
  <si>
    <t xml:space="preserve">A. Total life of planting - establishment years. </t>
  </si>
  <si>
    <r>
      <t>Pruning and Training (labor)</t>
    </r>
    <r>
      <rPr>
        <vertAlign val="superscript"/>
        <sz val="11"/>
        <rFont val="Times New Roman"/>
        <family val="1"/>
      </rPr>
      <t>A</t>
    </r>
  </si>
  <si>
    <r>
      <t>Green Fruit Thinning (labor)</t>
    </r>
    <r>
      <rPr>
        <vertAlign val="superscript"/>
        <sz val="11"/>
        <rFont val="Times New Roman"/>
        <family val="1"/>
      </rPr>
      <t>A</t>
    </r>
  </si>
  <si>
    <r>
      <t>Chemicals</t>
    </r>
    <r>
      <rPr>
        <vertAlign val="superscript"/>
        <sz val="11"/>
        <rFont val="Times New Roman"/>
        <family val="1"/>
      </rPr>
      <t>B</t>
    </r>
  </si>
  <si>
    <r>
      <t>Fertilizer</t>
    </r>
    <r>
      <rPr>
        <vertAlign val="superscript"/>
        <sz val="11"/>
        <rFont val="Times New Roman"/>
        <family val="1"/>
      </rPr>
      <t>D</t>
    </r>
  </si>
  <si>
    <r>
      <t>General Farm Labor</t>
    </r>
    <r>
      <rPr>
        <vertAlign val="superscript"/>
        <sz val="11"/>
        <rFont val="Times New Roman"/>
        <family val="1"/>
      </rPr>
      <t>E</t>
    </r>
  </si>
  <si>
    <r>
      <t>Irrigation Labor</t>
    </r>
    <r>
      <rPr>
        <vertAlign val="superscript"/>
        <sz val="11"/>
        <rFont val="Times New Roman"/>
        <family val="1"/>
      </rPr>
      <t>F</t>
    </r>
  </si>
  <si>
    <r>
      <t>Maintenance &amp; Repair</t>
    </r>
    <r>
      <rPr>
        <vertAlign val="superscript"/>
        <sz val="11"/>
        <rFont val="Times New Roman"/>
        <family val="1"/>
      </rPr>
      <t>G</t>
    </r>
  </si>
  <si>
    <r>
      <t>Management Overhead</t>
    </r>
    <r>
      <rPr>
        <vertAlign val="superscript"/>
        <sz val="11"/>
        <rFont val="Times New Roman"/>
        <family val="1"/>
      </rPr>
      <t>I</t>
    </r>
  </si>
  <si>
    <t>E. Refers to miscellaneous or all other labor (lump sum). Rate includes applicable taxes and benefits.</t>
  </si>
  <si>
    <t>I. Includes management salary, cellphone, gas, etc.</t>
  </si>
  <si>
    <t>TOTAL RETURNS ($/acre)</t>
  </si>
  <si>
    <t>Calculate Payback Period of Total Cash Costs</t>
  </si>
  <si>
    <t>Calculate Payback Period of Total Cost</t>
  </si>
  <si>
    <t>10 acres</t>
  </si>
  <si>
    <t>Tall spindle system</t>
  </si>
  <si>
    <t>Estimated FOB Price ($/bin)</t>
  </si>
  <si>
    <t xml:space="preserve">B. Assumes a 900 lb bin. </t>
  </si>
  <si>
    <t>Land (11 acres)</t>
  </si>
  <si>
    <t xml:space="preserve">The yields of cider apples from Year 3, Year 4, Year 5, and Full Production are 10 bins/ac, 30 bins/ac, 40 bins/ac and 50 bins/ac, respectively.  </t>
  </si>
  <si>
    <t>C. The irrigation system, mainline and pump, pond, trellis system, and wind machine are used for the direct production of  the fruit. Hence, their respective interest costs are divided by the production area (10 acres) to get the interest cost per acre.</t>
  </si>
  <si>
    <t>Based on a 900 lb bin; Range for sensitivity analysis - 40 bins to 70 bins per acre during full production.</t>
  </si>
  <si>
    <r>
      <t>Estimated Production (bins/acre)</t>
    </r>
    <r>
      <rPr>
        <vertAlign val="superscript"/>
        <sz val="11"/>
        <rFont val="Times New Roman"/>
        <family val="1"/>
      </rPr>
      <t>B</t>
    </r>
  </si>
  <si>
    <t>B. Bin size is 900 lb.</t>
  </si>
  <si>
    <t>A. Includes amortized establishment costs. Net return is what the grower receives after all production expenses have been accounted.</t>
  </si>
  <si>
    <t>B. Operating expenses is the sum of the total variable costs, miscellaneous supplies, land and property taxes, insurance cost, and management cost.</t>
  </si>
  <si>
    <r>
      <t>Operating Expenses</t>
    </r>
    <r>
      <rPr>
        <vertAlign val="superscript"/>
        <sz val="11"/>
        <rFont val="Times New Roman"/>
        <family val="1"/>
      </rPr>
      <t>B</t>
    </r>
  </si>
  <si>
    <t xml:space="preserve">Harvest </t>
  </si>
  <si>
    <t>Hand labor - baseline</t>
  </si>
  <si>
    <t>Cost of picking labor (by hand), per bin</t>
  </si>
  <si>
    <t>Picking</t>
  </si>
  <si>
    <t>Year 5 to 30 (Full Production)</t>
  </si>
  <si>
    <t>Broadcast fertilizer (materials &amp; labor)</t>
  </si>
  <si>
    <t>Cost of cover crop (materials &amp; labor)</t>
  </si>
  <si>
    <t>Labor and tractor cost</t>
  </si>
  <si>
    <t>poles</t>
  </si>
  <si>
    <t>clips and ties</t>
  </si>
  <si>
    <t>intermediate posts</t>
  </si>
  <si>
    <t>ground anchors</t>
  </si>
  <si>
    <t>end posts</t>
  </si>
  <si>
    <t>Pump</t>
  </si>
  <si>
    <t xml:space="preserve">Parts, pvc, tape, valves, in-line filter </t>
  </si>
  <si>
    <t>Pruning and training labor</t>
  </si>
  <si>
    <t>Green fruit thinning labor</t>
  </si>
  <si>
    <t>Cost of chemicals (materials &amp; labor)</t>
  </si>
  <si>
    <t>Manual Pest Control</t>
  </si>
  <si>
    <t>Cost of all fertilizer (materials &amp; labor)</t>
  </si>
  <si>
    <t>Cost of irrigation labor</t>
  </si>
  <si>
    <t>Fuel and lube (lump sum)</t>
  </si>
  <si>
    <t>Cost of manual pest control (labor)</t>
  </si>
  <si>
    <t>broadcast fertilizer (materials and labor)</t>
  </si>
  <si>
    <t>Sprayer</t>
  </si>
  <si>
    <t>Tractor</t>
  </si>
  <si>
    <t>Size or Description</t>
  </si>
  <si>
    <t>50 hp</t>
  </si>
  <si>
    <t>Air blast sprayer, 100 gal</t>
  </si>
  <si>
    <t>Weed sprayer boom &amp; tank</t>
  </si>
  <si>
    <t>Mower, rotary</t>
  </si>
  <si>
    <t>6 ft</t>
  </si>
  <si>
    <t>Fork lift</t>
  </si>
  <si>
    <t>5000 lb, gas-powered</t>
  </si>
  <si>
    <t>Pickup truck</t>
  </si>
  <si>
    <t>3/4 ton, 4 WD, extended cab</t>
  </si>
  <si>
    <t>Bin trailer</t>
  </si>
  <si>
    <t>8 ft x 16 ft</t>
  </si>
  <si>
    <t>Ladders</t>
  </si>
  <si>
    <t>8 ft unit</t>
  </si>
  <si>
    <t>Fence</t>
  </si>
  <si>
    <t>plastic, 900 lb</t>
  </si>
  <si>
    <t>mainline and Pump</t>
  </si>
  <si>
    <t>Total orchard operation (acres):</t>
  </si>
  <si>
    <t>Production or growing area (acres):</t>
  </si>
  <si>
    <t>A. The full production year is representative of all the remaining years the orchard is in full production (Year 5 to Year 25).</t>
  </si>
  <si>
    <t>This budget is for growing cider apples only. Apples may be used to produce own hard cider or sold to a hard-cider-making operation.  Post-production costs, such as extended storage, juicing, transportation to cidery, and pomace disposal are not included in this budget.</t>
  </si>
  <si>
    <t xml:space="preserve">The size of the orchard operation used in this budget is 10 acres. It is assumed that one acre of the orchard is not used for the direct production of tree fruit; rather, it is dedicated to roads, buildings, storage, etc. Therefore, the total productive area for this orchard is 9 acres.   </t>
  </si>
  <si>
    <t>The cider produced will be hard cider.</t>
  </si>
  <si>
    <t>The orchard is drip irrigated using city water.</t>
  </si>
  <si>
    <t>The cider apple orchard specifications are as follows:</t>
  </si>
  <si>
    <t xml:space="preserve"> </t>
  </si>
  <si>
    <t>9 acres</t>
  </si>
  <si>
    <t>Several varieties (e.g., Kingston Black, Yarlington Mill, Brown Snout, Dabinett, Porter's Perfection, Vilberie, Foxwelp)</t>
  </si>
  <si>
    <t xml:space="preserve">Dwarf - M9 series </t>
  </si>
  <si>
    <t>Central leader system</t>
  </si>
  <si>
    <t xml:space="preserve">5 feet </t>
  </si>
  <si>
    <t>12 feet</t>
  </si>
  <si>
    <t>25 years</t>
  </si>
  <si>
    <t>726 trees</t>
  </si>
  <si>
    <t>10.</t>
  </si>
  <si>
    <t>If grafted cider apple trees are to be planted, growers must contact the nursery and make arrangements at least 18 months in advance of planting.</t>
  </si>
  <si>
    <t>Producers sell apples within 2 weeks of harvest. Apples are stored at the farm in pole barns with no climate control.</t>
  </si>
  <si>
    <t>Bins weigh 900 pounds each (no maintenance, no food safety issues).</t>
  </si>
  <si>
    <t>Cultural tasks and harvest activities are done by hand.</t>
  </si>
  <si>
    <r>
      <t>Manual Pest Control</t>
    </r>
    <r>
      <rPr>
        <vertAlign val="superscript"/>
        <sz val="11"/>
        <rFont val="Times New Roman"/>
        <family val="1"/>
      </rPr>
      <t>C</t>
    </r>
  </si>
  <si>
    <r>
      <t>Management Overhead</t>
    </r>
    <r>
      <rPr>
        <vertAlign val="superscript"/>
        <sz val="11"/>
        <rFont val="Times New Roman"/>
        <family val="1"/>
      </rPr>
      <t>H</t>
    </r>
  </si>
  <si>
    <t>B. Includes herbicides, insecticides, fungicides, and all other chemicals. Cost includes materials and labor.</t>
  </si>
  <si>
    <t>C. Hand removal of pests, including tent caterpillars.</t>
  </si>
  <si>
    <t>D. Includes all types of fertilizer used. Cost includes materials and labor.</t>
  </si>
  <si>
    <t>G. Excludes irrigation system repair.</t>
  </si>
  <si>
    <t>H. Includes management salary, cellphone, gas, etc.</t>
  </si>
  <si>
    <r>
      <t>Soil Preparation</t>
    </r>
    <r>
      <rPr>
        <vertAlign val="superscript"/>
        <sz val="11"/>
        <color indexed="8"/>
        <rFont val="Times New Roman"/>
        <family val="1"/>
      </rPr>
      <t>B</t>
    </r>
  </si>
  <si>
    <r>
      <t>Manual Pest Control</t>
    </r>
    <r>
      <rPr>
        <vertAlign val="superscript"/>
        <sz val="11"/>
        <rFont val="Times New Roman"/>
        <family val="1"/>
      </rPr>
      <t>E</t>
    </r>
  </si>
  <si>
    <t>Fertilizer</t>
  </si>
  <si>
    <r>
      <t>General Farm Labor</t>
    </r>
    <r>
      <rPr>
        <vertAlign val="superscript"/>
        <sz val="11"/>
        <rFont val="Times New Roman"/>
        <family val="1"/>
      </rPr>
      <t>F</t>
    </r>
  </si>
  <si>
    <r>
      <t>Irrigation Labor</t>
    </r>
    <r>
      <rPr>
        <vertAlign val="superscript"/>
        <sz val="11"/>
        <rFont val="Times New Roman"/>
        <family val="1"/>
      </rPr>
      <t>G</t>
    </r>
  </si>
  <si>
    <r>
      <t>Maintenance &amp; Repair</t>
    </r>
    <r>
      <rPr>
        <vertAlign val="superscript"/>
        <sz val="11"/>
        <rFont val="Times New Roman"/>
        <family val="1"/>
      </rPr>
      <t>H</t>
    </r>
  </si>
  <si>
    <t>A. Includes land for roads and building.</t>
  </si>
  <si>
    <t>B. Costs assume soil preparation of flat (rip and disk rates) and virgin land (no fumigation costs).</t>
  </si>
  <si>
    <t>D. Includes herbicides, insecticides, fungicides, and all other chemicals. Cost includes materials and labor.</t>
  </si>
  <si>
    <t>E. Hand removal of pests, including tent caterpillars.</t>
  </si>
  <si>
    <t>F. Refers to miscellaneous or all other labor (lump sum). Rate includes applicable taxes and benefits.</t>
  </si>
  <si>
    <t>J. Includes all types of fertilizer used. Cost includes materials and labor.</t>
  </si>
  <si>
    <t>H. Includes irrigation system repair and maintenance, and machinery repair and maintenance.</t>
  </si>
  <si>
    <r>
      <t>Fertilizer</t>
    </r>
    <r>
      <rPr>
        <vertAlign val="superscript"/>
        <sz val="11"/>
        <rFont val="Times New Roman"/>
        <family val="1"/>
      </rPr>
      <t>J</t>
    </r>
  </si>
  <si>
    <t>Bins</t>
  </si>
  <si>
    <r>
      <t>Shop tools, used</t>
    </r>
    <r>
      <rPr>
        <vertAlign val="superscript"/>
        <sz val="11"/>
        <rFont val="Times New Roman"/>
        <family val="1"/>
      </rPr>
      <t>A</t>
    </r>
  </si>
  <si>
    <r>
      <t>Machine shop/pole barn</t>
    </r>
    <r>
      <rPr>
        <vertAlign val="superscript"/>
        <sz val="11"/>
        <rFont val="Times New Roman"/>
        <family val="1"/>
      </rPr>
      <t>B</t>
    </r>
  </si>
  <si>
    <r>
      <t>Expected useful life (years)</t>
    </r>
    <r>
      <rPr>
        <b/>
        <vertAlign val="superscript"/>
        <sz val="11"/>
        <rFont val="Times New Roman"/>
        <family val="1"/>
      </rPr>
      <t>D</t>
    </r>
  </si>
  <si>
    <r>
      <t>As % of Current Mkt Value</t>
    </r>
    <r>
      <rPr>
        <b/>
        <vertAlign val="superscript"/>
        <sz val="11"/>
        <rFont val="Times New Roman"/>
        <family val="1"/>
      </rPr>
      <t>D</t>
    </r>
  </si>
  <si>
    <r>
      <t>Salvage Value ($)</t>
    </r>
    <r>
      <rPr>
        <b/>
        <vertAlign val="superscript"/>
        <sz val="11"/>
        <rFont val="Times New Roman"/>
        <family val="1"/>
      </rPr>
      <t>E</t>
    </r>
  </si>
  <si>
    <r>
      <t>Annual Depreciation Cost ($)</t>
    </r>
    <r>
      <rPr>
        <b/>
        <vertAlign val="superscript"/>
        <sz val="11"/>
        <rFont val="Times New Roman"/>
        <family val="1"/>
      </rPr>
      <t>F</t>
    </r>
  </si>
  <si>
    <r>
      <t>A.</t>
    </r>
    <r>
      <rPr>
        <vertAlign val="superscript"/>
        <sz val="10"/>
        <rFont val="Times New Roman"/>
        <family val="1"/>
      </rPr>
      <t xml:space="preserve"> </t>
    </r>
    <r>
      <rPr>
        <sz val="10"/>
        <rFont val="Times New Roman"/>
        <family val="1"/>
      </rPr>
      <t>Includes tools for equipment maintenance, trellis building, irrigation maintenance</t>
    </r>
  </si>
  <si>
    <r>
      <t>B.</t>
    </r>
    <r>
      <rPr>
        <vertAlign val="superscript"/>
        <sz val="10"/>
        <rFont val="Times New Roman"/>
        <family val="1"/>
      </rPr>
      <t xml:space="preserve"> </t>
    </r>
    <r>
      <rPr>
        <sz val="10"/>
        <rFont val="Times New Roman"/>
        <family val="1"/>
      </rPr>
      <t>Includes pesticide storage</t>
    </r>
  </si>
  <si>
    <t>C. Purchase price corresponds to new machinery, equipment or building.</t>
  </si>
  <si>
    <t>D. These values  in orange must be changed as applicable to own production setting.</t>
  </si>
  <si>
    <r>
      <t xml:space="preserve">E. </t>
    </r>
    <r>
      <rPr>
        <i/>
        <sz val="10"/>
        <rFont val="Times New Roman"/>
        <family val="1"/>
      </rPr>
      <t>Salvage Value</t>
    </r>
    <r>
      <rPr>
        <sz val="10"/>
        <rFont val="Times New Roman"/>
        <family val="1"/>
      </rPr>
      <t xml:space="preserve"> refers to the estimated value of an asset at the end of its useful life. In general, a salvage value will be a positive value. However, it may be zero if the asset will be used until it is completely worn out and will have no scrap value at the end of its useful life.</t>
    </r>
  </si>
  <si>
    <r>
      <t>Total Interest Cost ($)</t>
    </r>
    <r>
      <rPr>
        <b/>
        <vertAlign val="superscript"/>
        <sz val="11"/>
        <color indexed="8"/>
        <rFont val="Times New Roman"/>
        <family val="1"/>
      </rPr>
      <t>B</t>
    </r>
  </si>
  <si>
    <r>
      <t>Machinery, Equipment, &amp; Building</t>
    </r>
    <r>
      <rPr>
        <vertAlign val="superscript"/>
        <sz val="11"/>
        <rFont val="Times New Roman"/>
        <family val="1"/>
      </rPr>
      <t>D,E</t>
    </r>
  </si>
  <si>
    <t>D. Total area of the farm operation is 10 acres and machinery, equipment, and building are used in the entire farm. Thus, the corresponding interest costs are divided by the total area (10 acres) to derive the interest cost per acre.</t>
  </si>
  <si>
    <r>
      <t>Machinery, Equipment, &amp; Building</t>
    </r>
    <r>
      <rPr>
        <vertAlign val="superscript"/>
        <sz val="11"/>
        <rFont val="Times New Roman"/>
        <family val="1"/>
      </rPr>
      <t>B</t>
    </r>
  </si>
  <si>
    <r>
      <t>Purchase Price ($)</t>
    </r>
    <r>
      <rPr>
        <b/>
        <vertAlign val="superscript"/>
        <sz val="11"/>
        <rFont val="Times New Roman"/>
        <family val="1"/>
      </rPr>
      <t>A</t>
    </r>
  </si>
  <si>
    <r>
      <t>Bins</t>
    </r>
    <r>
      <rPr>
        <vertAlign val="superscript"/>
        <sz val="11"/>
        <color theme="9" tint="-0.249977111117893"/>
        <rFont val="Times New Roman"/>
        <family val="1"/>
      </rPr>
      <t>B</t>
    </r>
  </si>
  <si>
    <r>
      <t>Shop tools, used</t>
    </r>
    <r>
      <rPr>
        <vertAlign val="superscript"/>
        <sz val="11"/>
        <color theme="9" tint="-0.249977111117893"/>
        <rFont val="Times New Roman"/>
        <family val="1"/>
      </rPr>
      <t>C</t>
    </r>
  </si>
  <si>
    <r>
      <t>Machine shop/pole barn</t>
    </r>
    <r>
      <rPr>
        <vertAlign val="superscript"/>
        <sz val="11"/>
        <color theme="9" tint="-0.249977111117893"/>
        <rFont val="Times New Roman"/>
        <family val="1"/>
      </rPr>
      <t>D</t>
    </r>
  </si>
  <si>
    <t>A. Purchase price corresponds to new machinery, equipment, or building.</t>
  </si>
  <si>
    <t>B. Number of units correspond to the number of bins of cider apples during full production.</t>
  </si>
  <si>
    <t>C. Includes tools for equipment maintenance, trellis building, irrigation maintenance.</t>
  </si>
  <si>
    <t>D. Includes pesticide storage.</t>
  </si>
  <si>
    <t>Cost ($/acre)</t>
  </si>
  <si>
    <t>Your Cost ($/acre)</t>
  </si>
  <si>
    <t>Your Breakeven Return ($/bin)</t>
  </si>
  <si>
    <t>Total Cash Costs</t>
  </si>
  <si>
    <t>= Total Variable Costs + Land &amp; Property Taxes + Insurance Cost + Miscellaneous Supplies</t>
  </si>
  <si>
    <t>Total Cash Costs + Depreciation Costs</t>
  </si>
  <si>
    <t xml:space="preserve">= Total Cash Costs + Depreciation Costs + Interest Costs + Management Cost </t>
  </si>
  <si>
    <t>Assumed yield (bins/acre) =</t>
  </si>
  <si>
    <t>Assumed price per bin =</t>
  </si>
  <si>
    <r>
      <t>Breakeven Return ($/bin)</t>
    </r>
    <r>
      <rPr>
        <b/>
        <vertAlign val="superscript"/>
        <sz val="11"/>
        <rFont val="Times New Roman"/>
        <family val="1"/>
      </rPr>
      <t>A</t>
    </r>
  </si>
  <si>
    <t>B</t>
  </si>
  <si>
    <t>C</t>
  </si>
  <si>
    <t>D</t>
  </si>
  <si>
    <t>E</t>
  </si>
  <si>
    <t>A. Breakeven return is calculated as cost divided by yield.</t>
  </si>
  <si>
    <t xml:space="preserve">B. If the return is below this level, cider apples are uneconomical to produce. </t>
  </si>
  <si>
    <t>C. The second breakeven return allows the producer to stay in business in the short run.</t>
  </si>
  <si>
    <t>D. The third breakeven return allows the producer to stay in business in the long run.</t>
  </si>
  <si>
    <r>
      <t xml:space="preserve">E. The fourth breakeven return is the </t>
    </r>
    <r>
      <rPr>
        <b/>
        <i/>
        <sz val="10"/>
        <color indexed="8"/>
        <rFont val="Times New Roman"/>
        <family val="1"/>
      </rPr>
      <t>total cost breakeven return</t>
    </r>
    <r>
      <rPr>
        <sz val="10"/>
        <color indexed="8"/>
        <rFont val="Times New Roman"/>
        <family val="1"/>
      </rPr>
      <t xml:space="preserve">. Only when this breakeven return is received can the grower recover all out-of-pocket expenses </t>
    </r>
    <r>
      <rPr>
        <u/>
        <sz val="10"/>
        <color indexed="8"/>
        <rFont val="Times New Roman"/>
        <family val="1"/>
      </rPr>
      <t>plus</t>
    </r>
    <r>
      <rPr>
        <sz val="10"/>
        <color indexed="8"/>
        <rFont val="Times New Roman"/>
        <family val="1"/>
      </rPr>
      <t xml:space="preserve"> opportunity costs. </t>
    </r>
  </si>
  <si>
    <t>Interest Cost Per Acre ($)</t>
  </si>
  <si>
    <r>
      <t xml:space="preserve">A. </t>
    </r>
    <r>
      <rPr>
        <b/>
        <sz val="11"/>
        <rFont val="Times New Roman"/>
        <family val="1"/>
      </rPr>
      <t>NPV</t>
    </r>
    <r>
      <rPr>
        <sz val="11"/>
        <rFont val="Times New Roman"/>
        <family val="1"/>
      </rPr>
      <t xml:space="preserve"> is the sum of the discounted cash flows from the first year to the last year of the planting’s productive life. Discounting is a method to estimate the present value of future payments by using a discount rate, which represents the time value of money or the opportunity cost of capital. </t>
    </r>
  </si>
  <si>
    <r>
      <t xml:space="preserve">B. The discounted </t>
    </r>
    <r>
      <rPr>
        <b/>
        <sz val="11"/>
        <rFont val="Times New Roman"/>
        <family val="1"/>
      </rPr>
      <t>payback period</t>
    </r>
    <r>
      <rPr>
        <sz val="11"/>
        <rFont val="Times New Roman"/>
        <family val="1"/>
      </rPr>
      <t xml:space="preserve"> gives the number of years it would take to recoup an investment from discounted cash flows.</t>
    </r>
  </si>
  <si>
    <t>C. Total cost = Total cash cost + Management cost + Fixed capital investment. Excludes interest on operating capital and interest on fixed capital.</t>
  </si>
  <si>
    <t>D. Cash costs = Total variable cost + Miscellaneous supplies + Land &amp; property taxes + Insurance cost. Excludes interest on operating capital.</t>
  </si>
  <si>
    <r>
      <t>Total Cost</t>
    </r>
    <r>
      <rPr>
        <b/>
        <vertAlign val="superscript"/>
        <sz val="11"/>
        <color theme="1"/>
        <rFont val="Times New Roman"/>
        <family val="1"/>
      </rPr>
      <t>C</t>
    </r>
  </si>
  <si>
    <r>
      <t>Cash Costs</t>
    </r>
    <r>
      <rPr>
        <b/>
        <vertAlign val="superscript"/>
        <sz val="11"/>
        <color theme="1"/>
        <rFont val="Times New Roman"/>
        <family val="1"/>
      </rPr>
      <t>D</t>
    </r>
  </si>
  <si>
    <t>FOB Price (price at the orchard). Range of cider apple prices in western WA according to Galinato et al survey = $0.25-$0.50/lb</t>
  </si>
  <si>
    <t>Total Cider Apple Orchard Operation</t>
  </si>
  <si>
    <t>Production Area</t>
  </si>
  <si>
    <t>Cider Apple Variety</t>
  </si>
  <si>
    <t>Roostock</t>
  </si>
  <si>
    <t>In-row Spacing</t>
  </si>
  <si>
    <t>Between-row Spacing</t>
  </si>
  <si>
    <t>Commercial Life of Planting</t>
  </si>
  <si>
    <t>Tree Density per Acre</t>
  </si>
  <si>
    <r>
      <t>A.</t>
    </r>
    <r>
      <rPr>
        <vertAlign val="superscript"/>
        <sz val="10"/>
        <rFont val="Times New Roman"/>
        <family val="1"/>
      </rPr>
      <t xml:space="preserve"> </t>
    </r>
    <r>
      <rPr>
        <sz val="10"/>
        <rFont val="Times New Roman"/>
        <family val="1"/>
      </rPr>
      <t>The full production year is representative of all the remaining years the orchard is in full production (Year 5 to Year 25).</t>
    </r>
  </si>
  <si>
    <t xml:space="preserve">B. See Appendix Table A11 for the calculation of the depreciation cost of the machinery, equipment, and building. </t>
  </si>
  <si>
    <t>E. See Appendix Table A11 for a detailed calculation of the salvage value of machinery, equipment, and building.</t>
  </si>
  <si>
    <t>Appendix Table A11. Estimation of Salvage Value and Annual Depreciation Cost of Fixed Capital</t>
  </si>
  <si>
    <t>Appendix Table A12. Amortization Calculator</t>
  </si>
  <si>
    <t>Pruning &amp; Training</t>
  </si>
  <si>
    <t>Green Fruit Thinning</t>
  </si>
  <si>
    <t>Irrigation Labor</t>
  </si>
  <si>
    <t>C. Includes materials and labor.</t>
  </si>
  <si>
    <r>
      <t>Chemicals</t>
    </r>
    <r>
      <rPr>
        <vertAlign val="superscript"/>
        <sz val="11"/>
        <rFont val="Times New Roman"/>
        <family val="1"/>
      </rPr>
      <t>C</t>
    </r>
  </si>
  <si>
    <r>
      <t>Fertilizer</t>
    </r>
    <r>
      <rPr>
        <vertAlign val="superscript"/>
        <sz val="11"/>
        <rFont val="Times New Roman"/>
        <family val="1"/>
      </rPr>
      <t>C</t>
    </r>
  </si>
  <si>
    <r>
      <t>Manual Pest Control</t>
    </r>
    <r>
      <rPr>
        <vertAlign val="superscript"/>
        <sz val="11"/>
        <rFont val="Times New Roman"/>
        <family val="1"/>
      </rPr>
      <t>D</t>
    </r>
  </si>
  <si>
    <r>
      <t>Harvest Activities</t>
    </r>
    <r>
      <rPr>
        <u/>
        <vertAlign val="superscript"/>
        <sz val="11"/>
        <rFont val="Times New Roman"/>
        <family val="1"/>
      </rPr>
      <t>F</t>
    </r>
  </si>
  <si>
    <r>
      <t>Overhead (5% of VC)</t>
    </r>
    <r>
      <rPr>
        <vertAlign val="superscript"/>
        <sz val="11"/>
        <rFont val="Times New Roman"/>
        <family val="1"/>
      </rPr>
      <t>G</t>
    </r>
  </si>
  <si>
    <r>
      <t>Interest (5% of VC)</t>
    </r>
    <r>
      <rPr>
        <vertAlign val="superscript"/>
        <sz val="11"/>
        <rFont val="Times New Roman"/>
        <family val="1"/>
      </rPr>
      <t>H</t>
    </r>
  </si>
  <si>
    <r>
      <t>Land</t>
    </r>
    <r>
      <rPr>
        <vertAlign val="superscript"/>
        <sz val="11"/>
        <rFont val="Times New Roman"/>
        <family val="1"/>
      </rPr>
      <t>I</t>
    </r>
  </si>
  <si>
    <r>
      <t>Amortized Establishment Costs</t>
    </r>
    <r>
      <rPr>
        <vertAlign val="superscript"/>
        <sz val="11"/>
        <rFont val="Times New Roman"/>
        <family val="1"/>
      </rPr>
      <t>J</t>
    </r>
  </si>
  <si>
    <t>D. Hand removal of pests, including tent caterpillars.</t>
  </si>
  <si>
    <t>E. General farm labor rate is a lump sum per acre and applied to miscellaneous/all other labor. Rate includes applicable taxes and benefits.</t>
  </si>
  <si>
    <t>F. Hand labor. Picking rate = $83.82 per 900 lb bin.</t>
  </si>
  <si>
    <t>G. Captures indirect costs of operations in the cider apple orchard that fluctuate with the level of production but are not accounted by the variable costs already identified. Also captures unforseeable expenses.</t>
  </si>
  <si>
    <t>H. Interest expense on full year during establishment years and for 3/4 of a year during full production.</t>
  </si>
  <si>
    <t>I. Land cost is approximated by using the 5% interest rate multiplied by the land value. Represents the expected return on land or proxy for land rent.</t>
  </si>
  <si>
    <t>J. Represents the costs incurred during the establishment years (minus revenues during those years) that must be recaptured during the full production years. It is calculated as: accumulated establishment costs in Year 5 amortized at 5% for 21 years.</t>
  </si>
  <si>
    <t>C. Labor rate includes all applicable taxes and benefits. Green fruit thinning starts in Year 2.</t>
  </si>
  <si>
    <t xml:space="preserve">G. Irrigation labor rate includes all applicable taxes and benefits. </t>
  </si>
  <si>
    <t xml:space="preserve">A. Labor rate includes all applicable taxes and benefits. </t>
  </si>
  <si>
    <t>F. Irrigation labor rate includes applicable taxes and benefits.</t>
  </si>
  <si>
    <t>Machine/Equipment/Building (from Appendix Table A5)</t>
  </si>
  <si>
    <r>
      <t>Purchase Price (from Appendix Table A5)</t>
    </r>
    <r>
      <rPr>
        <b/>
        <vertAlign val="superscript"/>
        <sz val="11"/>
        <color indexed="8"/>
        <rFont val="Times New Roman"/>
        <family val="1"/>
      </rPr>
      <t>C</t>
    </r>
  </si>
  <si>
    <t>Appendix Table A1. Cider apple orchard specifications.</t>
  </si>
  <si>
    <t>The data in this budget are from the 2013 enterprise budget developed by Galinato, Gallardo, and Miles (2014) (http://cru.cahe.wsu.edu/CEPublications/FS141E/FS141E.pdf) that are adjusted using the prices paid indexes for commodities, services, interest, taxes, and wage rates in 2013 and 2015, which are 106.3 and 110 respectively. The ratio is approximately 1.03.</t>
  </si>
  <si>
    <r>
      <t xml:space="preserve">Values in </t>
    </r>
    <r>
      <rPr>
        <sz val="11"/>
        <color indexed="53"/>
        <rFont val="Times New Roman"/>
        <family val="1"/>
      </rPr>
      <t>orange</t>
    </r>
    <r>
      <rPr>
        <sz val="11"/>
        <color indexed="8"/>
        <rFont val="Times New Roman"/>
        <family val="1"/>
      </rPr>
      <t xml:space="preserve"> are provided by cooperators who have experience with cider apple production in western Washington. These values should be changed to customize your own production scenario. </t>
    </r>
  </si>
  <si>
    <t xml:space="preserve">The information in this enterprise budget serves as a general guide for a modern and well-managed cider apple orchard as of 2015. To avoid unwarranted conclusions for any particular operation, closely examine the assumptions used. If they are not appropriate for your situation, adjust the costs and/or returns as appropriate. </t>
  </si>
  <si>
    <t>Appendix A: Cost of Establishing, Producing, and Hand Harvesting Cider Apples in Western Washington</t>
  </si>
  <si>
    <r>
      <t>Appendix Table 3. Estimated Net Returns</t>
    </r>
    <r>
      <rPr>
        <b/>
        <vertAlign val="superscript"/>
        <sz val="14"/>
        <rFont val="Times New Roman"/>
        <family val="1"/>
      </rPr>
      <t>A</t>
    </r>
    <r>
      <rPr>
        <b/>
        <sz val="14"/>
        <rFont val="Times New Roman"/>
        <family val="1"/>
      </rPr>
      <t xml:space="preserve"> ($) per Acre at Various Prices and Yields of Cider Apples during Full Production in Western Washington</t>
    </r>
  </si>
  <si>
    <r>
      <t>Price ($/bin)</t>
    </r>
    <r>
      <rPr>
        <b/>
        <vertAlign val="superscript"/>
        <sz val="11"/>
        <rFont val="Times New Roman"/>
        <family val="1"/>
      </rPr>
      <t>C</t>
    </r>
  </si>
  <si>
    <t>C. Price represents the gross return.</t>
  </si>
  <si>
    <t>Appendix Table 4. Summary of Annual Capital Requirements for a 10-Acre Cider Apple Orchard in Western Washington</t>
  </si>
  <si>
    <t>Appendix Table 5. Machinery, Equipment, and Building Requirements for a 10-acre Cider Apple Orchard Operation in Western Washington</t>
  </si>
  <si>
    <t>B. Annual interest cost is calculated as: (Total Purchase Price + Salvage Value) ÷ 2 x Interest Rate. For land the calculation is: Total Purchase Price x Interest Rate because there is no salvage value for land.</t>
  </si>
  <si>
    <t>A. Annual depreciation cost is calculated as straight line depreciation: (Total Purchase Price – Salvage Value) ÷ Years of Use.</t>
  </si>
  <si>
    <t>Price is $337.50 per 900-lb bin.</t>
  </si>
  <si>
    <t>Appendix Table 6. Annual Interest Costs per Acre for a 10-Acre Cider Apple Orchard in Western Washington</t>
  </si>
  <si>
    <t>Appendix Table 7. Annual Depreciation Costs per Acre for a 10-Acre Cider Apple Orchard in Western Washington</t>
  </si>
  <si>
    <t>Appendix Table A9. Data on Costs During Establishment Years for a 10-Acre Cider Apple Orchard in Western Washington</t>
  </si>
  <si>
    <t>Appendix Table A10. Data on Costs During a Full Production Year for a 10-Acre Cider Apple Orchard in Western Washington</t>
  </si>
  <si>
    <r>
      <t xml:space="preserve">F. </t>
    </r>
    <r>
      <rPr>
        <i/>
        <sz val="10"/>
        <rFont val="Times New Roman"/>
        <family val="1"/>
      </rPr>
      <t>Depreciation cost</t>
    </r>
    <r>
      <rPr>
        <sz val="10"/>
        <rFont val="Times New Roman"/>
        <family val="1"/>
      </rPr>
      <t xml:space="preserve"> is calculated as straight line depreciation: (Total Purchase Price – Salvage Value) ÷ Years of Use.</t>
    </r>
  </si>
  <si>
    <t>Appendix Table A13. Assumptions for Establishing and Producing Cider Apples in Western Washington (Per Acre Basis).</t>
  </si>
  <si>
    <t>Appendix Table A2. Estimated Costs and Returns per Acre of Establishing, Producing, and Hand Harvesting Cider Apples on a 10-Acre Orchard in Western Washington</t>
  </si>
  <si>
    <t>Appendix Table 8.  Breakeven Return ($/bin) at Different Levels of Enterprise Costs during Full Production of Cider Apples in Western Washington</t>
  </si>
  <si>
    <t>Appendix A14. Net Present Value and Payback Period Calculators</t>
  </si>
</sst>
</file>

<file path=xl/styles.xml><?xml version="1.0" encoding="utf-8"?>
<styleSheet xmlns="http://schemas.openxmlformats.org/spreadsheetml/2006/main">
  <numFmts count="8">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0.000"/>
    <numFmt numFmtId="167" formatCode="&quot;$&quot;#,##0.00"/>
    <numFmt numFmtId="168" formatCode="&quot;$&quot;#,##0"/>
  </numFmts>
  <fonts count="58">
    <font>
      <sz val="11"/>
      <color theme="1"/>
      <name val="Calibri"/>
      <family val="2"/>
      <scheme val="minor"/>
    </font>
    <font>
      <sz val="11"/>
      <color indexed="8"/>
      <name val="Calibri"/>
      <family val="2"/>
    </font>
    <font>
      <b/>
      <sz val="14"/>
      <color indexed="8"/>
      <name val="Times New Roman"/>
      <family val="1"/>
    </font>
    <font>
      <vertAlign val="superscript"/>
      <sz val="11"/>
      <color indexed="8"/>
      <name val="Times New Roman"/>
      <family val="1"/>
    </font>
    <font>
      <sz val="10"/>
      <color indexed="8"/>
      <name val="Times New Roman"/>
      <family val="1"/>
    </font>
    <font>
      <b/>
      <sz val="11"/>
      <color indexed="8"/>
      <name val="Times New Roman"/>
      <family val="1"/>
    </font>
    <font>
      <sz val="11"/>
      <color indexed="8"/>
      <name val="Times New Roman"/>
      <family val="1"/>
    </font>
    <font>
      <sz val="11"/>
      <name val="Times New Roman"/>
      <family val="1"/>
    </font>
    <font>
      <b/>
      <sz val="14"/>
      <name val="Times New Roman"/>
      <family val="1"/>
    </font>
    <font>
      <b/>
      <sz val="11"/>
      <name val="Times New Roman"/>
      <family val="1"/>
    </font>
    <font>
      <u/>
      <sz val="11"/>
      <name val="Times New Roman"/>
      <family val="1"/>
    </font>
    <font>
      <vertAlign val="superscript"/>
      <sz val="11"/>
      <name val="Times New Roman"/>
      <family val="1"/>
    </font>
    <font>
      <sz val="10"/>
      <name val="Times New Roman"/>
      <family val="1"/>
    </font>
    <font>
      <sz val="11"/>
      <color indexed="53"/>
      <name val="Times New Roman"/>
      <family val="1"/>
    </font>
    <font>
      <b/>
      <u/>
      <sz val="11"/>
      <name val="Times New Roman"/>
      <family val="1"/>
    </font>
    <font>
      <sz val="12"/>
      <color indexed="8"/>
      <name val="Times New Roman"/>
      <family val="1"/>
    </font>
    <font>
      <sz val="11"/>
      <color indexed="8"/>
      <name val="Times New Roman"/>
      <family val="1"/>
    </font>
    <font>
      <sz val="11"/>
      <color indexed="53"/>
      <name val="Times New Roman"/>
      <family val="1"/>
    </font>
    <font>
      <b/>
      <u/>
      <sz val="11"/>
      <color indexed="8"/>
      <name val="Times New Roman"/>
      <family val="1"/>
    </font>
    <font>
      <sz val="11"/>
      <color indexed="10"/>
      <name val="Times New Roman"/>
      <family val="1"/>
    </font>
    <font>
      <sz val="11"/>
      <color indexed="49"/>
      <name val="Times New Roman"/>
      <family val="1"/>
    </font>
    <font>
      <sz val="8"/>
      <name val="Calibri"/>
      <family val="2"/>
    </font>
    <font>
      <sz val="11"/>
      <color indexed="53"/>
      <name val="Times New Roman"/>
      <family val="1"/>
    </font>
    <font>
      <sz val="11"/>
      <name val="Calibri"/>
      <family val="2"/>
    </font>
    <font>
      <sz val="11"/>
      <color indexed="53"/>
      <name val="Times New Roman"/>
      <family val="1"/>
    </font>
    <font>
      <b/>
      <vertAlign val="superscript"/>
      <sz val="11"/>
      <name val="Times New Roman"/>
      <family val="1"/>
    </font>
    <font>
      <i/>
      <sz val="10"/>
      <name val="Times New Roman"/>
      <family val="1"/>
    </font>
    <font>
      <sz val="11"/>
      <color theme="1"/>
      <name val="Calibri"/>
      <family val="2"/>
      <scheme val="minor"/>
    </font>
    <font>
      <sz val="11"/>
      <color theme="1"/>
      <name val="Times New Roman"/>
      <family val="1"/>
    </font>
    <font>
      <sz val="11"/>
      <color rgb="FFFF0000"/>
      <name val="Times New Roman"/>
      <family val="1"/>
    </font>
    <font>
      <sz val="11"/>
      <color theme="9" tint="-0.249977111117893"/>
      <name val="Times New Roman"/>
      <family val="1"/>
    </font>
    <font>
      <sz val="11"/>
      <color theme="4"/>
      <name val="Times New Roman"/>
      <family val="1"/>
    </font>
    <font>
      <sz val="11"/>
      <color theme="5"/>
      <name val="Times New Roman"/>
      <family val="1"/>
    </font>
    <font>
      <sz val="10"/>
      <color theme="1"/>
      <name val="Times New Roman"/>
      <family val="1"/>
    </font>
    <font>
      <i/>
      <sz val="10"/>
      <color theme="9" tint="-0.249977111117893"/>
      <name val="Times New Roman"/>
      <family val="1"/>
    </font>
    <font>
      <sz val="11"/>
      <color theme="8" tint="-0.249977111117893"/>
      <name val="Times New Roman"/>
      <family val="1"/>
    </font>
    <font>
      <b/>
      <sz val="14"/>
      <color theme="1"/>
      <name val="Times New Roman"/>
      <family val="1"/>
    </font>
    <font>
      <sz val="11"/>
      <color theme="3"/>
      <name val="Times New Roman"/>
      <family val="1"/>
    </font>
    <font>
      <b/>
      <sz val="11"/>
      <color theme="9" tint="-0.249977111117893"/>
      <name val="Times New Roman"/>
      <family val="1"/>
    </font>
    <font>
      <sz val="8"/>
      <name val="Calibri"/>
      <family val="2"/>
      <scheme val="minor"/>
    </font>
    <font>
      <u/>
      <sz val="11"/>
      <color theme="10"/>
      <name val="Calibri"/>
      <family val="2"/>
      <scheme val="minor"/>
    </font>
    <font>
      <u/>
      <sz val="11"/>
      <color theme="11"/>
      <name val="Calibri"/>
      <family val="2"/>
      <scheme val="minor"/>
    </font>
    <font>
      <sz val="12"/>
      <color theme="1"/>
      <name val="Times New Roman"/>
      <family val="1"/>
    </font>
    <font>
      <u/>
      <vertAlign val="superscript"/>
      <sz val="11"/>
      <name val="Times New Roman"/>
      <family val="1"/>
    </font>
    <font>
      <vertAlign val="superscript"/>
      <sz val="10"/>
      <name val="Times New Roman"/>
      <family val="1"/>
    </font>
    <font>
      <sz val="11"/>
      <color rgb="FFC00000"/>
      <name val="Times New Roman"/>
      <family val="1"/>
    </font>
    <font>
      <sz val="10"/>
      <color indexed="53"/>
      <name val="Times New Roman"/>
      <family val="1"/>
    </font>
    <font>
      <b/>
      <vertAlign val="superscript"/>
      <sz val="11"/>
      <color indexed="8"/>
      <name val="Times New Roman"/>
      <family val="1"/>
    </font>
    <font>
      <b/>
      <sz val="11"/>
      <color theme="1"/>
      <name val="Times New Roman"/>
      <family val="1"/>
    </font>
    <font>
      <sz val="10"/>
      <color theme="9" tint="-0.249977111117893"/>
      <name val="Times New Roman"/>
      <family val="1"/>
    </font>
    <font>
      <b/>
      <vertAlign val="superscript"/>
      <sz val="14"/>
      <name val="Times New Roman"/>
      <family val="1"/>
    </font>
    <font>
      <sz val="12"/>
      <color indexed="49"/>
      <name val="Times New Roman"/>
      <family val="1"/>
    </font>
    <font>
      <sz val="12"/>
      <name val="Times New Roman"/>
      <family val="1"/>
    </font>
    <font>
      <sz val="12"/>
      <color indexed="10"/>
      <name val="Times New Roman"/>
      <family val="1"/>
    </font>
    <font>
      <vertAlign val="superscript"/>
      <sz val="11"/>
      <color theme="9" tint="-0.249977111117893"/>
      <name val="Times New Roman"/>
      <family val="1"/>
    </font>
    <font>
      <b/>
      <i/>
      <sz val="10"/>
      <color indexed="8"/>
      <name val="Times New Roman"/>
      <family val="1"/>
    </font>
    <font>
      <u/>
      <sz val="10"/>
      <color indexed="8"/>
      <name val="Times New Roman"/>
      <family val="1"/>
    </font>
    <font>
      <b/>
      <vertAlign val="superscript"/>
      <sz val="11"/>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4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double">
        <color auto="1"/>
      </bottom>
      <diagonal/>
    </border>
    <border>
      <left/>
      <right/>
      <top style="thin">
        <color auto="1"/>
      </top>
      <bottom style="thin">
        <color indexed="55"/>
      </bottom>
      <diagonal/>
    </border>
    <border>
      <left/>
      <right/>
      <top/>
      <bottom style="thin">
        <color indexed="55"/>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indexed="64"/>
      </bottom>
      <diagonal/>
    </border>
    <border>
      <left/>
      <right/>
      <top style="thin">
        <color indexed="55"/>
      </top>
      <bottom/>
      <diagonal/>
    </border>
    <border>
      <left style="thin">
        <color auto="1"/>
      </left>
      <right/>
      <top/>
      <bottom style="thin">
        <color indexed="64"/>
      </bottom>
      <diagonal/>
    </border>
    <border>
      <left style="thin">
        <color auto="1"/>
      </left>
      <right style="thin">
        <color auto="1"/>
      </right>
      <top/>
      <bottom style="thin">
        <color indexed="64"/>
      </bottom>
      <diagonal/>
    </border>
    <border>
      <left/>
      <right/>
      <top/>
      <bottom style="thin">
        <color indexed="64"/>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top/>
      <bottom style="thin">
        <color indexed="55"/>
      </bottom>
      <diagonal/>
    </border>
    <border>
      <left/>
      <right/>
      <top/>
      <bottom style="thin">
        <color auto="1"/>
      </bottom>
      <diagonal/>
    </border>
    <border>
      <left/>
      <right/>
      <top/>
      <bottom style="thin">
        <color indexed="64"/>
      </bottom>
      <diagonal/>
    </border>
    <border>
      <left/>
      <right/>
      <top style="thin">
        <color indexed="64"/>
      </top>
      <bottom style="thin">
        <color indexed="64"/>
      </bottom>
      <diagonal/>
    </border>
    <border>
      <left/>
      <right/>
      <top/>
      <bottom style="thin">
        <color theme="0" tint="-0.24994659260841701"/>
      </bottom>
      <diagonal/>
    </border>
    <border>
      <left style="thin">
        <color auto="1"/>
      </left>
      <right/>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s>
  <cellStyleXfs count="20">
    <xf numFmtId="0" fontId="0" fillId="0" borderId="0"/>
    <xf numFmtId="44"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76">
    <xf numFmtId="0" fontId="0" fillId="0" borderId="0" xfId="0"/>
    <xf numFmtId="0" fontId="7" fillId="2" borderId="0" xfId="0" applyFont="1" applyFill="1" applyBorder="1"/>
    <xf numFmtId="0" fontId="7" fillId="2" borderId="0" xfId="0" applyFont="1" applyFill="1" applyBorder="1" applyAlignment="1">
      <alignment horizontal="center"/>
    </xf>
    <xf numFmtId="0" fontId="7" fillId="2" borderId="0" xfId="0" applyFont="1" applyFill="1"/>
    <xf numFmtId="0" fontId="16" fillId="2" borderId="0" xfId="0" applyFont="1" applyFill="1"/>
    <xf numFmtId="0" fontId="7" fillId="2" borderId="1" xfId="0" applyFont="1" applyFill="1" applyBorder="1"/>
    <xf numFmtId="4" fontId="7" fillId="2" borderId="0" xfId="0" applyNumberFormat="1" applyFont="1" applyFill="1" applyAlignment="1">
      <alignment horizontal="right" vertical="center" indent="2"/>
    </xf>
    <xf numFmtId="4" fontId="7" fillId="2" borderId="0" xfId="0" applyNumberFormat="1" applyFont="1" applyFill="1" applyBorder="1" applyAlignment="1">
      <alignment horizontal="right" vertical="center" indent="2"/>
    </xf>
    <xf numFmtId="0" fontId="9" fillId="2" borderId="0" xfId="0" applyFont="1" applyFill="1" applyBorder="1"/>
    <xf numFmtId="0" fontId="7" fillId="2" borderId="0" xfId="0" applyFont="1" applyFill="1" applyAlignment="1">
      <alignment horizontal="left" indent="1"/>
    </xf>
    <xf numFmtId="0" fontId="9" fillId="2" borderId="1" xfId="0" applyFont="1" applyFill="1" applyBorder="1"/>
    <xf numFmtId="0" fontId="12" fillId="2" borderId="0" xfId="0" applyFont="1" applyFill="1"/>
    <xf numFmtId="0" fontId="7" fillId="2" borderId="0" xfId="0" applyFont="1" applyFill="1" applyAlignment="1">
      <alignment horizontal="center"/>
    </xf>
    <xf numFmtId="0" fontId="7" fillId="2" borderId="2" xfId="0" applyFont="1" applyFill="1" applyBorder="1"/>
    <xf numFmtId="0" fontId="23" fillId="2" borderId="0" xfId="0" applyFont="1" applyFill="1"/>
    <xf numFmtId="43" fontId="7" fillId="2" borderId="0" xfId="0" applyNumberFormat="1" applyFont="1" applyFill="1"/>
    <xf numFmtId="0" fontId="9" fillId="2" borderId="0" xfId="0" applyFont="1" applyFill="1" applyAlignment="1">
      <alignment horizontal="left"/>
    </xf>
    <xf numFmtId="39" fontId="7" fillId="2" borderId="0" xfId="0" applyNumberFormat="1" applyFont="1" applyFill="1"/>
    <xf numFmtId="39" fontId="7" fillId="2" borderId="1" xfId="0" applyNumberFormat="1" applyFont="1" applyFill="1" applyBorder="1"/>
    <xf numFmtId="0" fontId="8" fillId="2" borderId="0" xfId="0" applyFont="1" applyFill="1" applyBorder="1" applyAlignment="1">
      <alignment wrapText="1"/>
    </xf>
    <xf numFmtId="0" fontId="9" fillId="2" borderId="0" xfId="0" applyFont="1" applyFill="1" applyBorder="1" applyAlignment="1">
      <alignment horizontal="center" wrapText="1"/>
    </xf>
    <xf numFmtId="0" fontId="0" fillId="2" borderId="0" xfId="0" applyFill="1"/>
    <xf numFmtId="3" fontId="16" fillId="2" borderId="0" xfId="0" applyNumberFormat="1" applyFont="1" applyFill="1" applyAlignment="1">
      <alignment horizontal="right" vertical="center" indent="3"/>
    </xf>
    <xf numFmtId="0" fontId="16" fillId="2" borderId="0" xfId="0" applyFont="1" applyFill="1" applyBorder="1"/>
    <xf numFmtId="0" fontId="2" fillId="2" borderId="0" xfId="0" applyFont="1" applyFill="1" applyBorder="1" applyAlignment="1">
      <alignment wrapText="1"/>
    </xf>
    <xf numFmtId="3" fontId="7" fillId="2" borderId="0" xfId="0" applyNumberFormat="1" applyFont="1" applyFill="1" applyAlignment="1">
      <alignment horizontal="right" vertical="center" indent="3"/>
    </xf>
    <xf numFmtId="4" fontId="16" fillId="2" borderId="0" xfId="0" applyNumberFormat="1" applyFont="1" applyFill="1" applyAlignment="1">
      <alignment horizontal="right" vertical="center" indent="4"/>
    </xf>
    <xf numFmtId="4" fontId="16" fillId="2" borderId="0" xfId="0" applyNumberFormat="1" applyFont="1" applyFill="1"/>
    <xf numFmtId="0" fontId="16" fillId="2" borderId="1" xfId="0" applyFont="1" applyFill="1" applyBorder="1"/>
    <xf numFmtId="164" fontId="16" fillId="2" borderId="0" xfId="0" applyNumberFormat="1" applyFont="1" applyFill="1"/>
    <xf numFmtId="44" fontId="16" fillId="2" borderId="0" xfId="0" applyNumberFormat="1" applyFont="1" applyFill="1"/>
    <xf numFmtId="4" fontId="16" fillId="2" borderId="0" xfId="0" applyNumberFormat="1" applyFont="1" applyFill="1" applyAlignment="1">
      <alignment horizontal="right" vertical="center" indent="3"/>
    </xf>
    <xf numFmtId="0" fontId="6" fillId="2" borderId="0" xfId="0" applyFont="1" applyFill="1"/>
    <xf numFmtId="0" fontId="4" fillId="2" borderId="0" xfId="0" applyFont="1" applyFill="1"/>
    <xf numFmtId="0" fontId="16" fillId="2" borderId="0" xfId="0" quotePrefix="1" applyFont="1" applyFill="1"/>
    <xf numFmtId="4" fontId="16" fillId="2" borderId="0" xfId="0" applyNumberFormat="1" applyFont="1" applyFill="1" applyBorder="1" applyAlignment="1">
      <alignment horizontal="right" indent="1"/>
    </xf>
    <xf numFmtId="0" fontId="20" fillId="2" borderId="0" xfId="0" applyFont="1" applyFill="1" applyAlignment="1">
      <alignment horizontal="right"/>
    </xf>
    <xf numFmtId="0" fontId="24" fillId="2" borderId="0" xfId="0" applyFont="1" applyFill="1"/>
    <xf numFmtId="3" fontId="7" fillId="2" borderId="0" xfId="0" applyNumberFormat="1" applyFont="1" applyFill="1" applyAlignment="1">
      <alignment horizontal="right" vertical="center" indent="5"/>
    </xf>
    <xf numFmtId="0" fontId="15"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7" fillId="3" borderId="0" xfId="0" applyFont="1" applyFill="1"/>
    <xf numFmtId="0" fontId="16" fillId="3" borderId="0" xfId="0" applyFont="1" applyFill="1"/>
    <xf numFmtId="43" fontId="7" fillId="3" borderId="0" xfId="0" applyNumberFormat="1" applyFont="1" applyFill="1" applyAlignment="1">
      <alignment horizontal="right"/>
    </xf>
    <xf numFmtId="4" fontId="7" fillId="3" borderId="0" xfId="0" applyNumberFormat="1" applyFont="1" applyFill="1" applyAlignment="1">
      <alignment horizontal="right" vertical="center" indent="2"/>
    </xf>
    <xf numFmtId="4" fontId="7" fillId="3" borderId="0" xfId="0" applyNumberFormat="1" applyFont="1" applyFill="1" applyBorder="1" applyAlignment="1">
      <alignment horizontal="right" vertical="center" indent="2"/>
    </xf>
    <xf numFmtId="0" fontId="9" fillId="3" borderId="0" xfId="0" applyFont="1" applyFill="1" applyBorder="1"/>
    <xf numFmtId="43" fontId="7" fillId="3" borderId="1" xfId="0" applyNumberFormat="1" applyFont="1" applyFill="1" applyBorder="1" applyAlignment="1">
      <alignment horizontal="right"/>
    </xf>
    <xf numFmtId="4" fontId="7" fillId="3" borderId="1" xfId="0" applyNumberFormat="1" applyFont="1" applyFill="1" applyBorder="1" applyAlignment="1">
      <alignment horizontal="right" vertical="center" indent="2"/>
    </xf>
    <xf numFmtId="43" fontId="7" fillId="3" borderId="0" xfId="0" applyNumberFormat="1" applyFont="1" applyFill="1" applyBorder="1" applyAlignment="1">
      <alignment horizontal="right"/>
    </xf>
    <xf numFmtId="0" fontId="9" fillId="3" borderId="0" xfId="0" applyFont="1" applyFill="1"/>
    <xf numFmtId="0" fontId="10" fillId="3" borderId="0" xfId="0" applyFont="1" applyFill="1" applyAlignment="1">
      <alignment horizontal="left"/>
    </xf>
    <xf numFmtId="0" fontId="7" fillId="3" borderId="0" xfId="0" applyFont="1" applyFill="1" applyAlignment="1">
      <alignment horizontal="left" indent="1"/>
    </xf>
    <xf numFmtId="4" fontId="7" fillId="3" borderId="0" xfId="0" applyNumberFormat="1" applyFont="1" applyFill="1" applyAlignment="1">
      <alignment horizontal="right" indent="2"/>
    </xf>
    <xf numFmtId="4" fontId="7" fillId="3" borderId="0" xfId="0" applyNumberFormat="1" applyFont="1" applyFill="1" applyBorder="1" applyAlignment="1">
      <alignment horizontal="right" vertical="center" indent="3"/>
    </xf>
    <xf numFmtId="0" fontId="10" fillId="3" borderId="0" xfId="0" applyFont="1" applyFill="1"/>
    <xf numFmtId="0" fontId="7" fillId="3" borderId="0" xfId="0" applyFont="1" applyFill="1" applyAlignment="1">
      <alignment horizontal="right" indent="1"/>
    </xf>
    <xf numFmtId="0" fontId="9" fillId="3" borderId="1" xfId="0" applyFont="1" applyFill="1" applyBorder="1"/>
    <xf numFmtId="4" fontId="7" fillId="3" borderId="1" xfId="0" applyNumberFormat="1" applyFont="1" applyFill="1" applyBorder="1" applyAlignment="1">
      <alignment horizontal="right" indent="1"/>
    </xf>
    <xf numFmtId="0" fontId="12" fillId="3" borderId="0" xfId="0" applyFont="1" applyFill="1"/>
    <xf numFmtId="0" fontId="7" fillId="3" borderId="0" xfId="0" applyFont="1" applyFill="1" applyProtection="1">
      <protection locked="0"/>
    </xf>
    <xf numFmtId="43" fontId="7" fillId="3" borderId="0" xfId="0" applyNumberFormat="1" applyFont="1" applyFill="1" applyAlignment="1" applyProtection="1">
      <alignment horizontal="right"/>
      <protection locked="0"/>
    </xf>
    <xf numFmtId="4" fontId="7" fillId="3" borderId="0" xfId="0" applyNumberFormat="1" applyFont="1" applyFill="1" applyAlignment="1" applyProtection="1">
      <alignment horizontal="right" vertical="center" indent="2"/>
      <protection locked="0"/>
    </xf>
    <xf numFmtId="0" fontId="5" fillId="2" borderId="0" xfId="0" applyFont="1" applyFill="1"/>
    <xf numFmtId="0" fontId="28" fillId="3" borderId="0" xfId="0" applyFont="1" applyFill="1" applyBorder="1" applyAlignment="1">
      <alignment horizontal="left"/>
    </xf>
    <xf numFmtId="4" fontId="29" fillId="3" borderId="0" xfId="0" applyNumberFormat="1" applyFont="1" applyFill="1" applyAlignment="1" applyProtection="1">
      <alignment horizontal="right" vertical="center" indent="2"/>
      <protection locked="0"/>
    </xf>
    <xf numFmtId="4" fontId="6" fillId="2" borderId="0" xfId="0" applyNumberFormat="1" applyFont="1" applyFill="1"/>
    <xf numFmtId="4" fontId="30" fillId="3" borderId="0" xfId="0" applyNumberFormat="1" applyFont="1" applyFill="1" applyAlignment="1" applyProtection="1">
      <alignment horizontal="right" vertical="center" indent="2"/>
      <protection locked="0"/>
    </xf>
    <xf numFmtId="4" fontId="31" fillId="3" borderId="0" xfId="0" quotePrefix="1" applyNumberFormat="1" applyFont="1" applyFill="1"/>
    <xf numFmtId="4" fontId="30" fillId="3" borderId="0" xfId="0" applyNumberFormat="1" applyFont="1" applyFill="1" applyBorder="1" applyAlignment="1" applyProtection="1">
      <alignment horizontal="right" vertical="center" indent="2"/>
      <protection locked="0"/>
    </xf>
    <xf numFmtId="0" fontId="6" fillId="3" borderId="0" xfId="0" quotePrefix="1" applyFont="1" applyFill="1"/>
    <xf numFmtId="0" fontId="6" fillId="3" borderId="0" xfId="0" applyFont="1" applyFill="1"/>
    <xf numFmtId="0" fontId="32" fillId="3" borderId="0" xfId="0" applyFont="1" applyFill="1"/>
    <xf numFmtId="0" fontId="32" fillId="3" borderId="0" xfId="0" quotePrefix="1" applyFont="1" applyFill="1"/>
    <xf numFmtId="0" fontId="5" fillId="3" borderId="3" xfId="0" applyFont="1" applyFill="1" applyBorder="1" applyAlignment="1">
      <alignment horizontal="left" wrapText="1"/>
    </xf>
    <xf numFmtId="0" fontId="18" fillId="3" borderId="0" xfId="0" applyFont="1" applyFill="1"/>
    <xf numFmtId="0" fontId="16" fillId="3" borderId="0" xfId="0" applyFont="1" applyFill="1" applyAlignment="1">
      <alignment horizontal="left" indent="1"/>
    </xf>
    <xf numFmtId="0" fontId="6" fillId="3" borderId="0" xfId="0" applyFont="1" applyFill="1" applyAlignment="1">
      <alignment horizontal="left" indent="1"/>
    </xf>
    <xf numFmtId="0" fontId="7" fillId="3" borderId="0" xfId="0" applyFont="1" applyFill="1" applyBorder="1" applyAlignment="1">
      <alignment horizontal="left"/>
    </xf>
    <xf numFmtId="0" fontId="7" fillId="3" borderId="0" xfId="0" applyFont="1" applyFill="1" applyAlignment="1">
      <alignment horizontal="left"/>
    </xf>
    <xf numFmtId="0" fontId="16" fillId="3" borderId="0" xfId="0" applyFont="1" applyFill="1" applyBorder="1" applyAlignment="1">
      <alignment horizontal="left" indent="1"/>
    </xf>
    <xf numFmtId="0" fontId="28" fillId="3" borderId="0" xfId="0" applyFont="1" applyFill="1" applyBorder="1" applyAlignment="1">
      <alignment horizontal="left" indent="1"/>
    </xf>
    <xf numFmtId="0" fontId="9" fillId="3" borderId="0" xfId="0" applyFont="1" applyFill="1" applyAlignment="1">
      <alignment horizontal="left" indent="1"/>
    </xf>
    <xf numFmtId="0" fontId="14" fillId="3" borderId="0" xfId="0" applyFont="1" applyFill="1"/>
    <xf numFmtId="39" fontId="7" fillId="3" borderId="1" xfId="0" applyNumberFormat="1" applyFont="1" applyFill="1" applyBorder="1" applyAlignment="1">
      <alignment horizontal="right" vertical="center" indent="2"/>
    </xf>
    <xf numFmtId="39" fontId="7" fillId="3" borderId="4" xfId="0" applyNumberFormat="1" applyFont="1" applyFill="1" applyBorder="1" applyAlignment="1">
      <alignment horizontal="right" vertical="center" indent="2"/>
    </xf>
    <xf numFmtId="0" fontId="28" fillId="3" borderId="0" xfId="0" applyFont="1" applyFill="1" applyBorder="1" applyAlignment="1"/>
    <xf numFmtId="0" fontId="32" fillId="3" borderId="0" xfId="0" applyFont="1" applyFill="1" applyBorder="1"/>
    <xf numFmtId="0" fontId="6" fillId="2" borderId="0" xfId="0" applyFont="1" applyFill="1" applyBorder="1" applyAlignment="1">
      <alignment horizontal="left" indent="1"/>
    </xf>
    <xf numFmtId="0" fontId="7" fillId="2" borderId="0" xfId="0" applyFont="1" applyFill="1" applyAlignment="1">
      <alignment vertical="top" wrapText="1"/>
    </xf>
    <xf numFmtId="0" fontId="16" fillId="3" borderId="0" xfId="0" applyFont="1" applyFill="1" applyBorder="1"/>
    <xf numFmtId="0" fontId="28" fillId="3" borderId="0" xfId="0" applyFont="1" applyFill="1"/>
    <xf numFmtId="0" fontId="33" fillId="3" borderId="0" xfId="0" applyFont="1" applyFill="1"/>
    <xf numFmtId="4" fontId="30" fillId="3" borderId="1" xfId="0" applyNumberFormat="1" applyFont="1" applyFill="1" applyBorder="1" applyAlignment="1" applyProtection="1">
      <alignment horizontal="right" vertical="center" indent="2"/>
      <protection locked="0"/>
    </xf>
    <xf numFmtId="39" fontId="7" fillId="3" borderId="0" xfId="0" applyNumberFormat="1" applyFont="1" applyFill="1" applyBorder="1" applyAlignment="1">
      <alignment horizontal="right" vertical="center" indent="2"/>
    </xf>
    <xf numFmtId="4" fontId="7" fillId="3" borderId="0" xfId="0" applyNumberFormat="1" applyFont="1" applyFill="1" applyBorder="1" applyAlignment="1">
      <alignment horizontal="right" indent="1"/>
    </xf>
    <xf numFmtId="4" fontId="7" fillId="3" borderId="0" xfId="0" applyNumberFormat="1" applyFont="1" applyFill="1" applyBorder="1" applyAlignment="1" applyProtection="1">
      <alignment horizontal="right" indent="1"/>
      <protection locked="0"/>
    </xf>
    <xf numFmtId="0" fontId="6" fillId="2" borderId="0" xfId="0" applyFont="1" applyFill="1" applyBorder="1"/>
    <xf numFmtId="0" fontId="23" fillId="2" borderId="0" xfId="0" quotePrefix="1" applyFont="1" applyFill="1"/>
    <xf numFmtId="0" fontId="5" fillId="3" borderId="3" xfId="0" applyFont="1" applyFill="1" applyBorder="1" applyAlignment="1">
      <alignment horizontal="center" wrapText="1"/>
    </xf>
    <xf numFmtId="0" fontId="5" fillId="3" borderId="1" xfId="0" applyFont="1" applyFill="1" applyBorder="1" applyAlignment="1">
      <alignment horizontal="center" wrapText="1"/>
    </xf>
    <xf numFmtId="4" fontId="16" fillId="3" borderId="0" xfId="0" applyNumberFormat="1" applyFont="1" applyFill="1" applyAlignment="1">
      <alignment horizontal="right" vertical="center" indent="2"/>
    </xf>
    <xf numFmtId="3" fontId="7" fillId="3" borderId="0" xfId="0" applyNumberFormat="1" applyFont="1" applyFill="1" applyAlignment="1">
      <alignment horizontal="right" vertical="center" indent="4"/>
    </xf>
    <xf numFmtId="0" fontId="35" fillId="3" borderId="0" xfId="0" quotePrefix="1" applyFont="1" applyFill="1"/>
    <xf numFmtId="0" fontId="29" fillId="3" borderId="0" xfId="0" applyFont="1" applyFill="1"/>
    <xf numFmtId="0" fontId="35" fillId="3" borderId="0" xfId="0" applyFont="1" applyFill="1"/>
    <xf numFmtId="4" fontId="16" fillId="3" borderId="0" xfId="0" applyNumberFormat="1" applyFont="1" applyFill="1"/>
    <xf numFmtId="3" fontId="29" fillId="3" borderId="0" xfId="0" applyNumberFormat="1" applyFont="1" applyFill="1" applyAlignment="1" applyProtection="1">
      <alignment horizontal="right" vertical="center" indent="4"/>
      <protection locked="0"/>
    </xf>
    <xf numFmtId="4" fontId="30" fillId="3" borderId="0" xfId="0" applyNumberFormat="1" applyFont="1" applyFill="1" applyAlignment="1">
      <alignment horizontal="right" vertical="center" indent="2"/>
    </xf>
    <xf numFmtId="0" fontId="24" fillId="3" borderId="0" xfId="0" applyFont="1" applyFill="1"/>
    <xf numFmtId="4" fontId="29" fillId="3" borderId="0" xfId="0" applyNumberFormat="1" applyFont="1" applyFill="1" applyAlignment="1">
      <alignment horizontal="right" vertical="center" indent="2"/>
    </xf>
    <xf numFmtId="4" fontId="17" fillId="3" borderId="0" xfId="0" applyNumberFormat="1" applyFont="1" applyFill="1" applyAlignment="1">
      <alignment horizontal="right" vertical="center" indent="2"/>
    </xf>
    <xf numFmtId="3" fontId="30" fillId="3" borderId="0" xfId="0" applyNumberFormat="1" applyFont="1" applyFill="1" applyAlignment="1" applyProtection="1">
      <alignment horizontal="right" vertical="center" indent="4"/>
      <protection locked="0"/>
    </xf>
    <xf numFmtId="164" fontId="16" fillId="3" borderId="0" xfId="0" applyNumberFormat="1" applyFont="1" applyFill="1"/>
    <xf numFmtId="0" fontId="31" fillId="3" borderId="0" xfId="0" quotePrefix="1" applyFont="1" applyFill="1"/>
    <xf numFmtId="4" fontId="22" fillId="3" borderId="0" xfId="0" applyNumberFormat="1" applyFont="1" applyFill="1" applyAlignment="1">
      <alignment horizontal="right" vertical="center" indent="2"/>
    </xf>
    <xf numFmtId="4" fontId="16" fillId="3" borderId="0" xfId="0" applyNumberFormat="1" applyFont="1" applyFill="1" applyBorder="1" applyAlignment="1">
      <alignment horizontal="right" vertical="center" indent="2"/>
    </xf>
    <xf numFmtId="3" fontId="16" fillId="3" borderId="0" xfId="0" applyNumberFormat="1" applyFont="1" applyFill="1" applyBorder="1" applyAlignment="1">
      <alignment horizontal="right" vertical="center" indent="4"/>
    </xf>
    <xf numFmtId="3" fontId="16" fillId="3" borderId="0" xfId="0" applyNumberFormat="1" applyFont="1" applyFill="1" applyAlignment="1">
      <alignment horizontal="right" vertical="center" indent="4"/>
    </xf>
    <xf numFmtId="0" fontId="31" fillId="3" borderId="0" xfId="0" applyFont="1" applyFill="1"/>
    <xf numFmtId="4" fontId="19" fillId="3" borderId="0" xfId="0" applyNumberFormat="1" applyFont="1" applyFill="1" applyAlignment="1">
      <alignment horizontal="right" vertical="center" indent="2"/>
    </xf>
    <xf numFmtId="3" fontId="19" fillId="3" borderId="0" xfId="0" applyNumberFormat="1" applyFont="1" applyFill="1" applyAlignment="1">
      <alignment horizontal="right" vertical="center" indent="4"/>
    </xf>
    <xf numFmtId="4" fontId="17" fillId="3" borderId="0" xfId="0" applyNumberFormat="1" applyFont="1" applyFill="1" applyBorder="1" applyAlignment="1">
      <alignment horizontal="right" vertical="center" indent="2"/>
    </xf>
    <xf numFmtId="4" fontId="16" fillId="3" borderId="0" xfId="0" applyNumberFormat="1" applyFont="1" applyFill="1" applyAlignment="1">
      <alignment horizontal="center" vertical="center"/>
    </xf>
    <xf numFmtId="3" fontId="17" fillId="3" borderId="0" xfId="0" applyNumberFormat="1" applyFont="1" applyFill="1" applyAlignment="1">
      <alignment horizontal="center" vertical="center"/>
    </xf>
    <xf numFmtId="3" fontId="17" fillId="3" borderId="0" xfId="0" applyNumberFormat="1" applyFont="1" applyFill="1" applyAlignment="1">
      <alignment vertical="center"/>
    </xf>
    <xf numFmtId="4" fontId="24" fillId="3" borderId="0" xfId="0" applyNumberFormat="1" applyFont="1" applyFill="1" applyAlignment="1">
      <alignment horizontal="right" vertical="center" indent="2"/>
    </xf>
    <xf numFmtId="4" fontId="31" fillId="3" borderId="0" xfId="0" quotePrefix="1" applyNumberFormat="1" applyFont="1" applyFill="1" applyAlignment="1">
      <alignment horizontal="left" vertical="center" indent="2"/>
    </xf>
    <xf numFmtId="3" fontId="17" fillId="3" borderId="0" xfId="0" applyNumberFormat="1" applyFont="1" applyFill="1" applyAlignment="1">
      <alignment horizontal="right" vertical="center" indent="4"/>
    </xf>
    <xf numFmtId="3" fontId="7" fillId="3" borderId="0" xfId="0" applyNumberFormat="1" applyFont="1" applyFill="1" applyAlignment="1">
      <alignment horizontal="center" vertical="center"/>
    </xf>
    <xf numFmtId="166" fontId="29" fillId="3" borderId="0" xfId="0" applyNumberFormat="1" applyFont="1" applyFill="1" applyAlignment="1" applyProtection="1">
      <alignment horizontal="right" vertical="center" indent="2"/>
      <protection locked="0"/>
    </xf>
    <xf numFmtId="3" fontId="30" fillId="3" borderId="0" xfId="0" applyNumberFormat="1" applyFont="1" applyFill="1" applyBorder="1" applyAlignment="1" applyProtection="1">
      <alignment horizontal="right" vertical="center" indent="4"/>
      <protection locked="0"/>
    </xf>
    <xf numFmtId="3" fontId="7" fillId="3" borderId="0" xfId="0" applyNumberFormat="1" applyFont="1" applyFill="1" applyAlignment="1" applyProtection="1">
      <alignment horizontal="center" vertical="center"/>
      <protection locked="0"/>
    </xf>
    <xf numFmtId="3" fontId="16" fillId="3" borderId="0" xfId="0" applyNumberFormat="1" applyFont="1" applyFill="1" applyAlignment="1">
      <alignment horizontal="center" vertical="center"/>
    </xf>
    <xf numFmtId="164" fontId="6" fillId="3" borderId="0" xfId="1" applyNumberFormat="1" applyFont="1" applyFill="1"/>
    <xf numFmtId="0" fontId="29" fillId="3" borderId="0" xfId="0" applyFont="1" applyFill="1" applyProtection="1">
      <protection locked="0"/>
    </xf>
    <xf numFmtId="3" fontId="16" fillId="3" borderId="0" xfId="0" applyNumberFormat="1" applyFont="1" applyFill="1"/>
    <xf numFmtId="167" fontId="7" fillId="2" borderId="0" xfId="0" applyNumberFormat="1" applyFont="1" applyFill="1" applyBorder="1" applyAlignment="1">
      <alignment horizontal="right" indent="1"/>
    </xf>
    <xf numFmtId="167" fontId="16" fillId="2" borderId="1" xfId="0" applyNumberFormat="1" applyFont="1" applyFill="1" applyBorder="1" applyAlignment="1">
      <alignment horizontal="right" indent="1"/>
    </xf>
    <xf numFmtId="0" fontId="37" fillId="3" borderId="0" xfId="0" applyFont="1" applyFill="1"/>
    <xf numFmtId="4" fontId="37" fillId="3" borderId="0" xfId="0" quotePrefix="1" applyNumberFormat="1" applyFont="1" applyFill="1"/>
    <xf numFmtId="4" fontId="37" fillId="3" borderId="0" xfId="0" applyNumberFormat="1" applyFont="1" applyFill="1" applyAlignment="1">
      <alignment horizontal="right" vertical="center" indent="2"/>
    </xf>
    <xf numFmtId="0" fontId="37" fillId="3" borderId="0" xfId="0" quotePrefix="1" applyFont="1" applyFill="1"/>
    <xf numFmtId="0" fontId="7" fillId="0" borderId="0" xfId="0" applyFont="1" applyFill="1" applyAlignment="1">
      <alignment horizontal="left"/>
    </xf>
    <xf numFmtId="0" fontId="7" fillId="0" borderId="0" xfId="0" applyFont="1" applyFill="1"/>
    <xf numFmtId="0" fontId="16" fillId="0" borderId="0" xfId="0" applyFont="1" applyFill="1"/>
    <xf numFmtId="0" fontId="7" fillId="2" borderId="0" xfId="0" applyFont="1" applyFill="1" applyBorder="1" applyAlignment="1">
      <alignment horizontal="left"/>
    </xf>
    <xf numFmtId="3" fontId="7" fillId="2" borderId="0" xfId="0" applyNumberFormat="1" applyFont="1" applyFill="1" applyBorder="1" applyAlignment="1">
      <alignment horizontal="right" vertical="center" indent="3"/>
    </xf>
    <xf numFmtId="3" fontId="30" fillId="2" borderId="0" xfId="0" applyNumberFormat="1" applyFont="1" applyFill="1" applyAlignment="1" applyProtection="1">
      <alignment horizontal="right" vertical="center" indent="3"/>
      <protection locked="0"/>
    </xf>
    <xf numFmtId="3" fontId="30" fillId="2" borderId="0" xfId="0" applyNumberFormat="1" applyFont="1" applyFill="1" applyAlignment="1" applyProtection="1">
      <alignment horizontal="center" vertical="center"/>
      <protection locked="0"/>
    </xf>
    <xf numFmtId="3" fontId="30" fillId="2" borderId="0" xfId="0" applyNumberFormat="1" applyFont="1" applyFill="1" applyBorder="1" applyAlignment="1" applyProtection="1">
      <alignment horizontal="right" vertical="center" indent="3"/>
      <protection locked="0"/>
    </xf>
    <xf numFmtId="3" fontId="30" fillId="2" borderId="0" xfId="0" applyNumberFormat="1" applyFont="1" applyFill="1" applyBorder="1" applyAlignment="1" applyProtection="1">
      <alignment horizontal="center" vertical="center"/>
      <protection locked="0"/>
    </xf>
    <xf numFmtId="3" fontId="30" fillId="2" borderId="0" xfId="0" applyNumberFormat="1" applyFont="1" applyFill="1" applyAlignment="1" applyProtection="1">
      <alignment horizontal="right" vertical="center" indent="4"/>
      <protection locked="0"/>
    </xf>
    <xf numFmtId="0" fontId="7" fillId="0" borderId="8" xfId="0" applyFont="1" applyFill="1" applyBorder="1"/>
    <xf numFmtId="167" fontId="7" fillId="0" borderId="0" xfId="0" applyNumberFormat="1" applyFont="1" applyFill="1" applyBorder="1"/>
    <xf numFmtId="4" fontId="30" fillId="2" borderId="0" xfId="0" applyNumberFormat="1" applyFont="1" applyFill="1" applyBorder="1" applyAlignment="1" applyProtection="1">
      <alignment horizontal="right" indent="1"/>
      <protection locked="0"/>
    </xf>
    <xf numFmtId="37" fontId="30" fillId="3" borderId="0" xfId="0" applyNumberFormat="1" applyFont="1" applyFill="1" applyProtection="1">
      <protection locked="0"/>
    </xf>
    <xf numFmtId="3" fontId="30" fillId="3" borderId="0" xfId="0" applyNumberFormat="1" applyFont="1" applyFill="1" applyAlignment="1" applyProtection="1">
      <alignment horizontal="right"/>
      <protection locked="0"/>
    </xf>
    <xf numFmtId="0" fontId="30" fillId="3" borderId="0" xfId="0" applyFont="1" applyFill="1" applyProtection="1">
      <protection locked="0"/>
    </xf>
    <xf numFmtId="0" fontId="42" fillId="3" borderId="0" xfId="0" applyFont="1" applyFill="1"/>
    <xf numFmtId="0" fontId="9" fillId="2" borderId="1" xfId="0" applyFont="1" applyFill="1" applyBorder="1" applyAlignment="1">
      <alignment horizontal="center"/>
    </xf>
    <xf numFmtId="3" fontId="30" fillId="3" borderId="0" xfId="0" applyNumberFormat="1" applyFont="1" applyFill="1" applyAlignment="1" applyProtection="1">
      <alignment horizontal="center" vertical="center"/>
      <protection locked="0"/>
    </xf>
    <xf numFmtId="3" fontId="7" fillId="2" borderId="0" xfId="0" applyNumberFormat="1" applyFont="1" applyFill="1" applyBorder="1" applyAlignment="1">
      <alignment horizontal="right" vertical="center" indent="5"/>
    </xf>
    <xf numFmtId="0" fontId="16" fillId="2" borderId="0" xfId="0" applyFont="1" applyFill="1" applyBorder="1" applyAlignment="1">
      <alignment horizontal="right" vertical="center" indent="3"/>
    </xf>
    <xf numFmtId="167" fontId="30" fillId="0" borderId="0" xfId="0" applyNumberFormat="1" applyFont="1" applyFill="1" applyAlignment="1">
      <alignment horizontal="right"/>
    </xf>
    <xf numFmtId="0" fontId="6" fillId="3" borderId="0" xfId="0" applyFont="1" applyFill="1" applyAlignment="1">
      <alignment horizontal="center"/>
    </xf>
    <xf numFmtId="0" fontId="12" fillId="2" borderId="0" xfId="0" applyFont="1" applyFill="1" applyBorder="1"/>
    <xf numFmtId="167" fontId="7" fillId="0" borderId="0" xfId="0" applyNumberFormat="1" applyFont="1" applyFill="1" applyBorder="1" applyAlignment="1">
      <alignment vertical="top"/>
    </xf>
    <xf numFmtId="0" fontId="7" fillId="0" borderId="0" xfId="0" applyFont="1" applyFill="1" applyBorder="1" applyAlignment="1">
      <alignment vertical="top"/>
    </xf>
    <xf numFmtId="0" fontId="7" fillId="3" borderId="0" xfId="0" applyFont="1" applyFill="1" applyAlignment="1">
      <alignment horizontal="center"/>
    </xf>
    <xf numFmtId="0" fontId="38" fillId="3" borderId="0" xfId="0" applyFont="1" applyFill="1" applyAlignment="1" applyProtection="1">
      <alignment horizontal="left" indent="5"/>
      <protection locked="0"/>
    </xf>
    <xf numFmtId="0" fontId="26" fillId="3" borderId="0" xfId="0" applyFont="1" applyFill="1" applyBorder="1" applyAlignment="1" applyProtection="1">
      <alignment horizontal="left"/>
      <protection locked="0"/>
    </xf>
    <xf numFmtId="9" fontId="34" fillId="3" borderId="0" xfId="0" applyNumberFormat="1" applyFont="1" applyFill="1" applyBorder="1" applyAlignment="1">
      <alignment horizontal="left" vertical="center" indent="3"/>
    </xf>
    <xf numFmtId="0" fontId="26" fillId="3" borderId="1" xfId="0" applyFont="1" applyFill="1" applyBorder="1" applyAlignment="1" applyProtection="1">
      <alignment horizontal="left"/>
      <protection locked="0"/>
    </xf>
    <xf numFmtId="9" fontId="34" fillId="3" borderId="1" xfId="0" applyNumberFormat="1" applyFont="1" applyFill="1" applyBorder="1" applyAlignment="1">
      <alignment horizontal="left" vertical="center" indent="3"/>
    </xf>
    <xf numFmtId="4" fontId="7" fillId="3" borderId="1" xfId="0" applyNumberFormat="1" applyFont="1" applyFill="1" applyBorder="1" applyAlignment="1">
      <alignment horizontal="right" vertical="center" indent="3"/>
    </xf>
    <xf numFmtId="0" fontId="12" fillId="3" borderId="0" xfId="0" applyFont="1" applyFill="1" applyBorder="1" applyAlignment="1" applyProtection="1">
      <alignment horizontal="left"/>
      <protection locked="0"/>
    </xf>
    <xf numFmtId="4" fontId="7" fillId="3" borderId="0" xfId="0" applyNumberFormat="1" applyFont="1" applyFill="1"/>
    <xf numFmtId="0" fontId="7" fillId="0" borderId="13" xfId="0" applyFont="1" applyFill="1" applyBorder="1" applyAlignment="1">
      <alignment vertical="top" wrapText="1"/>
    </xf>
    <xf numFmtId="167" fontId="7" fillId="0" borderId="2" xfId="0" applyNumberFormat="1" applyFont="1" applyFill="1" applyBorder="1" applyAlignment="1">
      <alignment vertical="top" wrapText="1"/>
    </xf>
    <xf numFmtId="0" fontId="7" fillId="0" borderId="0" xfId="0" applyFont="1" applyFill="1" applyAlignment="1">
      <alignment vertical="top"/>
    </xf>
    <xf numFmtId="0" fontId="7" fillId="0" borderId="7" xfId="0" applyFont="1" applyFill="1" applyBorder="1" applyAlignment="1">
      <alignment vertical="top"/>
    </xf>
    <xf numFmtId="0" fontId="7" fillId="0" borderId="3" xfId="0" applyFont="1" applyFill="1" applyBorder="1" applyAlignment="1">
      <alignment vertical="top"/>
    </xf>
    <xf numFmtId="0" fontId="7" fillId="0" borderId="9" xfId="0" applyFont="1" applyFill="1" applyBorder="1" applyAlignment="1">
      <alignment vertical="top"/>
    </xf>
    <xf numFmtId="0" fontId="7" fillId="0" borderId="1" xfId="0" applyFont="1" applyFill="1" applyBorder="1" applyAlignment="1">
      <alignment vertical="top"/>
    </xf>
    <xf numFmtId="0" fontId="7" fillId="0" borderId="8" xfId="0" applyFont="1" applyFill="1" applyBorder="1" applyAlignment="1">
      <alignment vertical="top"/>
    </xf>
    <xf numFmtId="0" fontId="7" fillId="0" borderId="10" xfId="0" applyFont="1" applyFill="1" applyBorder="1" applyAlignment="1">
      <alignment vertical="top"/>
    </xf>
    <xf numFmtId="0" fontId="7" fillId="0" borderId="0" xfId="0" applyFont="1" applyFill="1" applyBorder="1" applyAlignment="1">
      <alignment horizontal="left" vertical="top"/>
    </xf>
    <xf numFmtId="0" fontId="7" fillId="0" borderId="2" xfId="0" applyFont="1" applyFill="1" applyBorder="1" applyAlignment="1">
      <alignment horizontal="left" vertical="top"/>
    </xf>
    <xf numFmtId="167" fontId="7" fillId="0" borderId="0" xfId="0" applyNumberFormat="1" applyFont="1" applyFill="1" applyBorder="1" applyAlignment="1">
      <alignment horizontal="left" vertical="top"/>
    </xf>
    <xf numFmtId="0" fontId="7" fillId="0" borderId="11" xfId="0" applyFont="1" applyFill="1" applyBorder="1" applyAlignment="1">
      <alignment vertical="top"/>
    </xf>
    <xf numFmtId="167" fontId="30" fillId="0" borderId="0" xfId="0" applyNumberFormat="1" applyFont="1" applyFill="1" applyBorder="1" applyAlignment="1">
      <alignment horizontal="right" vertical="top"/>
    </xf>
    <xf numFmtId="167" fontId="30" fillId="0" borderId="0" xfId="0" applyNumberFormat="1" applyFont="1" applyFill="1" applyAlignment="1">
      <alignment horizontal="right" vertical="top"/>
    </xf>
    <xf numFmtId="167" fontId="7" fillId="0" borderId="0" xfId="0" applyNumberFormat="1" applyFont="1" applyFill="1" applyAlignment="1">
      <alignment vertical="top"/>
    </xf>
    <xf numFmtId="0" fontId="7" fillId="0" borderId="0" xfId="0" applyFont="1" applyFill="1" applyAlignment="1">
      <alignment horizontal="left" vertical="top"/>
    </xf>
    <xf numFmtId="167" fontId="7" fillId="0" borderId="0" xfId="0" applyNumberFormat="1" applyFont="1" applyFill="1" applyBorder="1" applyAlignment="1">
      <alignment horizontal="right" vertical="top"/>
    </xf>
    <xf numFmtId="167" fontId="30" fillId="0" borderId="2" xfId="0" applyNumberFormat="1" applyFont="1" applyFill="1" applyBorder="1" applyAlignment="1">
      <alignment horizontal="right" vertical="top"/>
    </xf>
    <xf numFmtId="167" fontId="30" fillId="0" borderId="1" xfId="0" applyNumberFormat="1" applyFont="1" applyFill="1" applyBorder="1" applyAlignment="1">
      <alignment horizontal="right" vertical="top"/>
    </xf>
    <xf numFmtId="9" fontId="7" fillId="0" borderId="0" xfId="2" applyNumberFormat="1" applyFont="1" applyFill="1" applyBorder="1" applyAlignment="1">
      <alignment vertical="top"/>
    </xf>
    <xf numFmtId="0" fontId="9" fillId="0" borderId="3" xfId="0" applyFont="1" applyFill="1" applyBorder="1" applyAlignment="1">
      <alignment horizontal="right" vertical="top"/>
    </xf>
    <xf numFmtId="0" fontId="7" fillId="0" borderId="3" xfId="0" applyFont="1" applyFill="1" applyBorder="1" applyAlignment="1">
      <alignment horizontal="right" vertical="top"/>
    </xf>
    <xf numFmtId="0" fontId="30" fillId="0" borderId="1" xfId="0" applyFont="1" applyFill="1" applyBorder="1" applyAlignment="1">
      <alignment horizontal="right" vertical="top"/>
    </xf>
    <xf numFmtId="0" fontId="30" fillId="0" borderId="0" xfId="0" applyFont="1" applyFill="1" applyBorder="1" applyAlignment="1">
      <alignment horizontal="right" vertical="top"/>
    </xf>
    <xf numFmtId="0" fontId="7" fillId="0" borderId="0" xfId="0" applyFont="1" applyFill="1" applyAlignment="1">
      <alignment horizontal="right" vertical="top"/>
    </xf>
    <xf numFmtId="9" fontId="30" fillId="0" borderId="0" xfId="2" applyNumberFormat="1" applyFont="1" applyFill="1" applyBorder="1" applyAlignment="1">
      <alignment horizontal="right" vertical="top"/>
    </xf>
    <xf numFmtId="0" fontId="7" fillId="0" borderId="14" xfId="0" applyFont="1" applyFill="1" applyBorder="1" applyAlignment="1">
      <alignment horizontal="right"/>
    </xf>
    <xf numFmtId="0" fontId="7" fillId="0" borderId="15" xfId="0" applyFont="1" applyFill="1" applyBorder="1" applyAlignment="1">
      <alignment vertical="top"/>
    </xf>
    <xf numFmtId="0" fontId="7" fillId="0" borderId="16" xfId="0" applyFont="1" applyFill="1" applyBorder="1" applyAlignment="1">
      <alignment vertical="top"/>
    </xf>
    <xf numFmtId="0" fontId="30" fillId="0" borderId="16" xfId="0" applyFont="1" applyFill="1" applyBorder="1" applyAlignment="1">
      <alignment horizontal="right" vertical="top"/>
    </xf>
    <xf numFmtId="0" fontId="7" fillId="0" borderId="17" xfId="0" applyFont="1" applyFill="1" applyBorder="1" applyAlignment="1">
      <alignment vertical="top"/>
    </xf>
    <xf numFmtId="0" fontId="7" fillId="0" borderId="14" xfId="0" applyFont="1" applyFill="1" applyBorder="1" applyAlignment="1">
      <alignment vertical="top"/>
    </xf>
    <xf numFmtId="167" fontId="30" fillId="0" borderId="14" xfId="0" applyNumberFormat="1" applyFont="1" applyFill="1" applyBorder="1" applyAlignment="1">
      <alignment horizontal="right" vertical="top"/>
    </xf>
    <xf numFmtId="0" fontId="30" fillId="0" borderId="14" xfId="0" applyFont="1" applyFill="1" applyBorder="1" applyAlignment="1">
      <alignment horizontal="right" vertical="top"/>
    </xf>
    <xf numFmtId="3" fontId="30" fillId="0" borderId="0" xfId="0" applyNumberFormat="1" applyFont="1" applyFill="1" applyBorder="1" applyAlignment="1">
      <alignment horizontal="right" vertical="top"/>
    </xf>
    <xf numFmtId="0" fontId="7" fillId="0" borderId="0" xfId="0" applyFont="1" applyFill="1" applyBorder="1" applyAlignment="1">
      <alignment horizontal="left" vertical="top" indent="1"/>
    </xf>
    <xf numFmtId="167" fontId="7" fillId="0" borderId="16" xfId="0" applyNumberFormat="1" applyFont="1" applyFill="1" applyBorder="1" applyAlignment="1">
      <alignment vertical="top"/>
    </xf>
    <xf numFmtId="0" fontId="7" fillId="0" borderId="15" xfId="0" applyFont="1" applyFill="1" applyBorder="1"/>
    <xf numFmtId="0" fontId="7" fillId="0" borderId="16" xfId="0" applyFont="1" applyFill="1" applyBorder="1"/>
    <xf numFmtId="167" fontId="30" fillId="0" borderId="16" xfId="0" applyNumberFormat="1" applyFont="1" applyFill="1" applyBorder="1" applyAlignment="1">
      <alignment horizontal="right"/>
    </xf>
    <xf numFmtId="167" fontId="7" fillId="0" borderId="0" xfId="0" applyNumberFormat="1" applyFont="1" applyFill="1" applyAlignment="1">
      <alignment horizontal="left"/>
    </xf>
    <xf numFmtId="167" fontId="7" fillId="0" borderId="0" xfId="0" applyNumberFormat="1" applyFont="1" applyFill="1" applyAlignment="1">
      <alignment vertical="top" wrapText="1"/>
    </xf>
    <xf numFmtId="0" fontId="9" fillId="0" borderId="16" xfId="0" applyFont="1" applyFill="1" applyBorder="1" applyAlignment="1">
      <alignment vertical="top"/>
    </xf>
    <xf numFmtId="3" fontId="12" fillId="3" borderId="0" xfId="0" applyNumberFormat="1" applyFont="1" applyFill="1" applyBorder="1" applyAlignment="1" applyProtection="1">
      <alignment horizontal="right" vertical="center" indent="3"/>
      <protection locked="0"/>
    </xf>
    <xf numFmtId="3" fontId="46" fillId="3" borderId="0" xfId="0" applyNumberFormat="1" applyFont="1" applyFill="1" applyBorder="1" applyAlignment="1" applyProtection="1">
      <alignment horizontal="right" vertical="center" indent="3"/>
      <protection locked="0"/>
    </xf>
    <xf numFmtId="0" fontId="9" fillId="2" borderId="14" xfId="0" applyFont="1" applyFill="1" applyBorder="1" applyAlignment="1">
      <alignment horizontal="center" vertical="top" wrapText="1"/>
    </xf>
    <xf numFmtId="0" fontId="0" fillId="2" borderId="0" xfId="0" applyFont="1" applyFill="1"/>
    <xf numFmtId="0" fontId="9" fillId="2" borderId="16" xfId="0" applyFont="1" applyFill="1" applyBorder="1" applyAlignment="1">
      <alignment horizontal="left"/>
    </xf>
    <xf numFmtId="3" fontId="9" fillId="2" borderId="16" xfId="0" applyNumberFormat="1" applyFont="1" applyFill="1" applyBorder="1" applyAlignment="1">
      <alignment horizontal="right" vertical="center" indent="3"/>
    </xf>
    <xf numFmtId="0" fontId="30" fillId="3" borderId="0" xfId="0" applyFont="1" applyFill="1" applyAlignment="1">
      <alignment horizontal="left"/>
    </xf>
    <xf numFmtId="0" fontId="30" fillId="2" borderId="0" xfId="0" applyFont="1" applyFill="1" applyBorder="1" applyAlignment="1">
      <alignment horizontal="left"/>
    </xf>
    <xf numFmtId="3" fontId="38" fillId="2" borderId="16" xfId="0" applyNumberFormat="1" applyFont="1" applyFill="1" applyBorder="1" applyAlignment="1">
      <alignment horizontal="right" vertical="center" indent="3"/>
    </xf>
    <xf numFmtId="3" fontId="38" fillId="2" borderId="16" xfId="0" applyNumberFormat="1" applyFont="1" applyFill="1" applyBorder="1" applyAlignment="1">
      <alignment horizontal="right" vertical="center" indent="5"/>
    </xf>
    <xf numFmtId="3" fontId="30" fillId="3" borderId="0" xfId="0" applyNumberFormat="1" applyFont="1" applyFill="1" applyBorder="1" applyAlignment="1" applyProtection="1">
      <alignment horizontal="right" vertical="center" indent="3"/>
      <protection locked="0"/>
    </xf>
    <xf numFmtId="9" fontId="30" fillId="3" borderId="0" xfId="2" applyFont="1" applyFill="1" applyBorder="1" applyAlignment="1" applyProtection="1">
      <alignment horizontal="right" vertical="center"/>
      <protection locked="0"/>
    </xf>
    <xf numFmtId="3" fontId="7" fillId="3" borderId="0" xfId="0" applyNumberFormat="1" applyFont="1" applyFill="1" applyBorder="1" applyAlignment="1" applyProtection="1">
      <alignment horizontal="right" vertical="center"/>
      <protection locked="0"/>
    </xf>
    <xf numFmtId="3" fontId="9" fillId="3" borderId="14" xfId="0" applyNumberFormat="1" applyFont="1" applyFill="1" applyBorder="1" applyAlignment="1" applyProtection="1">
      <alignment vertical="center"/>
      <protection locked="0"/>
    </xf>
    <xf numFmtId="3" fontId="7" fillId="3" borderId="14" xfId="0" applyNumberFormat="1" applyFont="1" applyFill="1" applyBorder="1" applyAlignment="1" applyProtection="1">
      <alignment horizontal="right" vertical="center" indent="3"/>
      <protection locked="0"/>
    </xf>
    <xf numFmtId="9" fontId="7" fillId="3" borderId="14" xfId="2" applyFont="1" applyFill="1" applyBorder="1" applyAlignment="1" applyProtection="1">
      <alignment horizontal="right" vertical="center"/>
      <protection locked="0"/>
    </xf>
    <xf numFmtId="3" fontId="9" fillId="3" borderId="14" xfId="0" applyNumberFormat="1" applyFont="1" applyFill="1" applyBorder="1" applyAlignment="1" applyProtection="1">
      <alignment horizontal="right" vertical="center"/>
      <protection locked="0"/>
    </xf>
    <xf numFmtId="3" fontId="9" fillId="3" borderId="14" xfId="0" applyNumberFormat="1" applyFont="1" applyFill="1" applyBorder="1"/>
    <xf numFmtId="3" fontId="16" fillId="2" borderId="16" xfId="0" applyNumberFormat="1" applyFont="1" applyFill="1" applyBorder="1" applyAlignment="1">
      <alignment horizontal="right" vertical="center" indent="3"/>
    </xf>
    <xf numFmtId="3" fontId="7" fillId="2" borderId="16" xfId="0" applyNumberFormat="1" applyFont="1" applyFill="1" applyBorder="1" applyAlignment="1">
      <alignment horizontal="right" vertical="center" indent="5"/>
    </xf>
    <xf numFmtId="4" fontId="16" fillId="2" borderId="16" xfId="0" applyNumberFormat="1" applyFont="1" applyFill="1" applyBorder="1" applyAlignment="1">
      <alignment horizontal="right" vertical="center" indent="3"/>
    </xf>
    <xf numFmtId="3" fontId="30" fillId="2" borderId="16" xfId="0" applyNumberFormat="1" applyFont="1" applyFill="1" applyBorder="1" applyAlignment="1" applyProtection="1">
      <alignment horizontal="right" vertical="center" indent="4"/>
      <protection locked="0"/>
    </xf>
    <xf numFmtId="0" fontId="7" fillId="3" borderId="0" xfId="0" applyFont="1" applyFill="1" applyBorder="1" applyAlignment="1">
      <alignment horizontal="left" indent="1"/>
    </xf>
    <xf numFmtId="4" fontId="16" fillId="2" borderId="16" xfId="0" applyNumberFormat="1" applyFont="1" applyFill="1" applyBorder="1" applyAlignment="1">
      <alignment horizontal="right" vertical="center" indent="4"/>
    </xf>
    <xf numFmtId="0" fontId="7" fillId="2" borderId="16" xfId="0" applyFont="1" applyFill="1" applyBorder="1"/>
    <xf numFmtId="0" fontId="9" fillId="3" borderId="14" xfId="0" applyFont="1" applyFill="1" applyBorder="1" applyAlignment="1">
      <alignment horizontal="left"/>
    </xf>
    <xf numFmtId="1" fontId="9" fillId="3" borderId="14" xfId="0" applyNumberFormat="1" applyFont="1" applyFill="1" applyBorder="1"/>
    <xf numFmtId="37" fontId="30" fillId="2" borderId="0" xfId="0" applyNumberFormat="1" applyFont="1" applyFill="1" applyAlignment="1" applyProtection="1">
      <alignment horizontal="left"/>
      <protection locked="0"/>
    </xf>
    <xf numFmtId="0" fontId="26" fillId="2" borderId="18" xfId="0" applyFont="1" applyFill="1" applyBorder="1" applyAlignment="1">
      <alignment horizontal="left"/>
    </xf>
    <xf numFmtId="165" fontId="34" fillId="2" borderId="18" xfId="3" applyNumberFormat="1" applyFont="1" applyFill="1" applyBorder="1" applyAlignment="1" applyProtection="1">
      <alignment horizontal="right" indent="3"/>
      <protection locked="0"/>
    </xf>
    <xf numFmtId="0" fontId="6" fillId="2" borderId="18" xfId="0" applyFont="1" applyFill="1" applyBorder="1"/>
    <xf numFmtId="0" fontId="7" fillId="0" borderId="0" xfId="0" applyFont="1" applyFill="1" applyBorder="1"/>
    <xf numFmtId="3" fontId="7" fillId="3" borderId="0" xfId="0" applyNumberFormat="1" applyFont="1" applyFill="1" applyBorder="1"/>
    <xf numFmtId="4" fontId="7" fillId="3" borderId="0" xfId="0" applyNumberFormat="1" applyFont="1" applyFill="1" applyAlignment="1" applyProtection="1">
      <alignment horizontal="right" indent="2"/>
      <protection locked="0"/>
    </xf>
    <xf numFmtId="3" fontId="30" fillId="3" borderId="5" xfId="0" applyNumberFormat="1" applyFont="1" applyFill="1" applyBorder="1" applyAlignment="1" applyProtection="1">
      <alignment horizontal="center"/>
      <protection locked="0"/>
    </xf>
    <xf numFmtId="0" fontId="30" fillId="3" borderId="6" xfId="0" applyFont="1" applyFill="1" applyBorder="1" applyProtection="1">
      <protection locked="0"/>
    </xf>
    <xf numFmtId="43" fontId="30" fillId="3" borderId="0" xfId="0" applyNumberFormat="1" applyFont="1" applyFill="1" applyAlignment="1" applyProtection="1">
      <alignment horizontal="right"/>
      <protection locked="0"/>
    </xf>
    <xf numFmtId="4" fontId="30" fillId="3" borderId="0" xfId="0" applyNumberFormat="1" applyFont="1" applyFill="1" applyAlignment="1" applyProtection="1">
      <alignment horizontal="right" vertical="center" indent="3"/>
      <protection locked="0"/>
    </xf>
    <xf numFmtId="4" fontId="30" fillId="3" borderId="1" xfId="0" applyNumberFormat="1" applyFont="1" applyFill="1" applyBorder="1" applyAlignment="1" applyProtection="1">
      <alignment horizontal="right" vertical="center" indent="3"/>
      <protection locked="0"/>
    </xf>
    <xf numFmtId="4" fontId="30" fillId="3" borderId="0" xfId="0" applyNumberFormat="1" applyFont="1" applyFill="1" applyBorder="1" applyAlignment="1" applyProtection="1">
      <alignment horizontal="right" vertical="center" indent="3"/>
      <protection locked="0"/>
    </xf>
    <xf numFmtId="43" fontId="30" fillId="3" borderId="1" xfId="0" applyNumberFormat="1" applyFont="1" applyFill="1" applyBorder="1" applyAlignment="1" applyProtection="1">
      <alignment horizontal="right"/>
      <protection locked="0"/>
    </xf>
    <xf numFmtId="0" fontId="30" fillId="3" borderId="0" xfId="0" applyFont="1" applyFill="1" applyAlignment="1" applyProtection="1">
      <alignment horizontal="right" indent="1"/>
      <protection locked="0"/>
    </xf>
    <xf numFmtId="43" fontId="30" fillId="3" borderId="4" xfId="0" applyNumberFormat="1" applyFont="1" applyFill="1" applyBorder="1" applyAlignment="1" applyProtection="1">
      <alignment horizontal="right" indent="2"/>
      <protection locked="0"/>
    </xf>
    <xf numFmtId="4" fontId="30" fillId="3" borderId="1" xfId="0" applyNumberFormat="1" applyFont="1" applyFill="1" applyBorder="1" applyAlignment="1" applyProtection="1">
      <alignment horizontal="right" indent="1"/>
      <protection locked="0"/>
    </xf>
    <xf numFmtId="0" fontId="7" fillId="0" borderId="8" xfId="0" applyFont="1" applyFill="1" applyBorder="1" applyAlignment="1">
      <alignment vertical="top" wrapText="1"/>
    </xf>
    <xf numFmtId="0" fontId="9" fillId="3" borderId="19" xfId="0" applyFont="1" applyFill="1" applyBorder="1" applyAlignment="1">
      <alignment horizontal="right" vertical="top" wrapText="1"/>
    </xf>
    <xf numFmtId="0" fontId="8" fillId="0" borderId="3" xfId="0" applyFont="1" applyFill="1" applyBorder="1" applyAlignment="1">
      <alignment vertical="top"/>
    </xf>
    <xf numFmtId="0" fontId="6" fillId="0" borderId="0" xfId="0" applyFont="1"/>
    <xf numFmtId="9" fontId="49" fillId="3" borderId="0" xfId="0" applyNumberFormat="1" applyFont="1" applyFill="1" applyAlignment="1">
      <alignment horizontal="left"/>
    </xf>
    <xf numFmtId="0" fontId="7" fillId="3" borderId="2" xfId="0" applyFont="1" applyFill="1" applyBorder="1"/>
    <xf numFmtId="0" fontId="7" fillId="3" borderId="19" xfId="0" applyFont="1" applyFill="1" applyBorder="1"/>
    <xf numFmtId="168" fontId="38" fillId="3" borderId="21" xfId="0" applyNumberFormat="1" applyFont="1" applyFill="1" applyBorder="1" applyAlignment="1">
      <alignment horizontal="center" vertical="center"/>
    </xf>
    <xf numFmtId="168" fontId="7" fillId="3" borderId="2" xfId="0" applyNumberFormat="1" applyFont="1" applyFill="1" applyBorder="1" applyAlignment="1">
      <alignment horizontal="center" vertical="center"/>
    </xf>
    <xf numFmtId="168" fontId="7" fillId="3" borderId="0" xfId="0" applyNumberFormat="1" applyFont="1" applyFill="1" applyBorder="1" applyAlignment="1">
      <alignment horizontal="center" vertical="center"/>
    </xf>
    <xf numFmtId="0" fontId="7" fillId="2" borderId="0" xfId="0" applyFont="1" applyFill="1" applyAlignment="1">
      <alignment vertical="top"/>
    </xf>
    <xf numFmtId="0" fontId="23" fillId="2" borderId="0" xfId="0" applyFont="1" applyFill="1" applyAlignment="1">
      <alignment vertical="top"/>
    </xf>
    <xf numFmtId="0" fontId="45" fillId="2" borderId="0" xfId="0" applyFont="1" applyFill="1" applyAlignment="1">
      <alignment vertical="top" wrapText="1"/>
    </xf>
    <xf numFmtId="43" fontId="45" fillId="2" borderId="0" xfId="0" applyNumberFormat="1" applyFont="1" applyFill="1" applyAlignment="1">
      <alignment vertical="top"/>
    </xf>
    <xf numFmtId="4" fontId="45" fillId="2" borderId="0" xfId="0" applyNumberFormat="1" applyFont="1" applyFill="1" applyBorder="1" applyAlignment="1">
      <alignment horizontal="right" vertical="top"/>
    </xf>
    <xf numFmtId="4" fontId="45" fillId="2" borderId="0" xfId="0" applyNumberFormat="1" applyFont="1" applyFill="1" applyAlignment="1">
      <alignment horizontal="right" vertical="top"/>
    </xf>
    <xf numFmtId="0" fontId="15" fillId="2" borderId="0" xfId="0" applyFont="1" applyFill="1"/>
    <xf numFmtId="37" fontId="30" fillId="2" borderId="0" xfId="0" applyNumberFormat="1" applyFont="1" applyFill="1" applyProtection="1">
      <protection locked="0"/>
    </xf>
    <xf numFmtId="0" fontId="38" fillId="3" borderId="25" xfId="0" applyFont="1" applyFill="1" applyBorder="1" applyAlignment="1" applyProtection="1">
      <alignment horizontal="left" indent="5"/>
      <protection locked="0"/>
    </xf>
    <xf numFmtId="0" fontId="30" fillId="3" borderId="26" xfId="0" applyFont="1" applyFill="1" applyBorder="1" applyProtection="1">
      <protection locked="0"/>
    </xf>
    <xf numFmtId="0" fontId="7" fillId="2" borderId="0" xfId="0" applyFont="1" applyFill="1" applyAlignment="1">
      <alignment horizontal="left" vertical="top" wrapText="1"/>
    </xf>
    <xf numFmtId="0" fontId="7" fillId="0" borderId="28" xfId="0" applyFont="1" applyFill="1" applyBorder="1" applyAlignment="1">
      <alignment vertical="top"/>
    </xf>
    <xf numFmtId="0" fontId="7" fillId="0" borderId="29" xfId="0" applyFont="1" applyFill="1" applyBorder="1" applyAlignment="1">
      <alignment vertical="top"/>
    </xf>
    <xf numFmtId="167" fontId="30" fillId="0" borderId="29" xfId="0" applyNumberFormat="1" applyFont="1" applyFill="1" applyBorder="1" applyAlignment="1">
      <alignment horizontal="right" vertical="top"/>
    </xf>
    <xf numFmtId="0" fontId="30" fillId="0" borderId="29" xfId="0" applyFont="1" applyFill="1" applyBorder="1" applyAlignment="1">
      <alignment horizontal="right" vertical="top"/>
    </xf>
    <xf numFmtId="0" fontId="7" fillId="0" borderId="29" xfId="0" applyFont="1" applyFill="1" applyBorder="1" applyAlignment="1">
      <alignment horizontal="right" vertical="top"/>
    </xf>
    <xf numFmtId="0" fontId="7" fillId="0" borderId="29" xfId="0" applyFont="1" applyFill="1" applyBorder="1"/>
    <xf numFmtId="0" fontId="7" fillId="0" borderId="30" xfId="0" applyFont="1" applyFill="1" applyBorder="1" applyAlignment="1">
      <alignment vertical="top"/>
    </xf>
    <xf numFmtId="0" fontId="7" fillId="0" borderId="31" xfId="0" applyFont="1" applyFill="1" applyBorder="1" applyAlignment="1">
      <alignment vertical="top"/>
    </xf>
    <xf numFmtId="0" fontId="7" fillId="0" borderId="32" xfId="0" applyFont="1" applyFill="1" applyBorder="1" applyAlignment="1">
      <alignment vertical="top"/>
    </xf>
    <xf numFmtId="167" fontId="30" fillId="0" borderId="32" xfId="0" applyNumberFormat="1" applyFont="1" applyFill="1" applyBorder="1" applyAlignment="1">
      <alignment horizontal="right" vertical="top"/>
    </xf>
    <xf numFmtId="167" fontId="7" fillId="0" borderId="29" xfId="0" applyNumberFormat="1" applyFont="1" applyFill="1" applyBorder="1"/>
    <xf numFmtId="0" fontId="7" fillId="0" borderId="27" xfId="0" applyFont="1" applyFill="1" applyBorder="1" applyAlignment="1">
      <alignment vertical="top"/>
    </xf>
    <xf numFmtId="167" fontId="7" fillId="0" borderId="32" xfId="0" applyNumberFormat="1" applyFont="1" applyFill="1" applyBorder="1"/>
    <xf numFmtId="0" fontId="30" fillId="3" borderId="33" xfId="0" applyFont="1" applyFill="1" applyBorder="1" applyProtection="1">
      <protection locked="0"/>
    </xf>
    <xf numFmtId="167" fontId="7" fillId="0" borderId="32" xfId="0" applyNumberFormat="1" applyFont="1" applyFill="1" applyBorder="1" applyAlignment="1">
      <alignment vertical="top"/>
    </xf>
    <xf numFmtId="0" fontId="28" fillId="3" borderId="34" xfId="0" applyFont="1" applyFill="1" applyBorder="1" applyAlignment="1">
      <alignment horizontal="left" indent="1"/>
    </xf>
    <xf numFmtId="4" fontId="30" fillId="3" borderId="34" xfId="0" applyNumberFormat="1" applyFont="1" applyFill="1" applyBorder="1" applyAlignment="1" applyProtection="1">
      <alignment horizontal="right" vertical="center" indent="2"/>
      <protection locked="0"/>
    </xf>
    <xf numFmtId="3" fontId="30" fillId="3" borderId="34" xfId="0" applyNumberFormat="1" applyFont="1" applyFill="1" applyBorder="1" applyAlignment="1" applyProtection="1">
      <alignment horizontal="center" vertical="center"/>
      <protection locked="0"/>
    </xf>
    <xf numFmtId="4" fontId="7" fillId="3" borderId="34" xfId="0" applyNumberFormat="1" applyFont="1" applyFill="1" applyBorder="1" applyAlignment="1">
      <alignment horizontal="right" vertical="center" indent="2"/>
    </xf>
    <xf numFmtId="3" fontId="7" fillId="3" borderId="34" xfId="0" applyNumberFormat="1" applyFont="1" applyFill="1" applyBorder="1" applyAlignment="1">
      <alignment horizontal="right" vertical="center" indent="4"/>
    </xf>
    <xf numFmtId="4" fontId="16" fillId="3" borderId="34" xfId="0" applyNumberFormat="1" applyFont="1" applyFill="1" applyBorder="1" applyAlignment="1">
      <alignment horizontal="right" vertical="center" indent="2"/>
    </xf>
    <xf numFmtId="3" fontId="30" fillId="3" borderId="34" xfId="0" applyNumberFormat="1" applyFont="1" applyFill="1" applyBorder="1" applyAlignment="1">
      <alignment horizontal="center" vertical="center"/>
    </xf>
    <xf numFmtId="0" fontId="9" fillId="2" borderId="34" xfId="0" applyFont="1" applyFill="1" applyBorder="1" applyAlignment="1">
      <alignment horizontal="left"/>
    </xf>
    <xf numFmtId="0" fontId="7" fillId="0" borderId="23" xfId="0" applyFont="1" applyFill="1" applyBorder="1" applyAlignment="1">
      <alignment vertical="top"/>
    </xf>
    <xf numFmtId="0" fontId="7" fillId="0" borderId="23" xfId="0" applyFont="1" applyFill="1" applyBorder="1" applyAlignment="1">
      <alignment horizontal="left" vertical="top"/>
    </xf>
    <xf numFmtId="4" fontId="30" fillId="3" borderId="0" xfId="0" applyNumberFormat="1" applyFont="1" applyFill="1" applyBorder="1" applyAlignment="1" applyProtection="1">
      <alignment horizontal="right" indent="1"/>
      <protection locked="0"/>
    </xf>
    <xf numFmtId="168" fontId="7" fillId="4" borderId="0" xfId="0" applyNumberFormat="1" applyFont="1" applyFill="1" applyBorder="1" applyAlignment="1">
      <alignment horizontal="center" vertical="center"/>
    </xf>
    <xf numFmtId="168" fontId="7" fillId="4" borderId="25" xfId="0" applyNumberFormat="1" applyFont="1" applyFill="1" applyBorder="1" applyAlignment="1">
      <alignment horizontal="center" vertical="center"/>
    </xf>
    <xf numFmtId="0" fontId="7" fillId="2" borderId="0" xfId="0" quotePrefix="1" applyFont="1" applyFill="1" applyBorder="1" applyAlignment="1">
      <alignment horizontal="left" vertical="top"/>
    </xf>
    <xf numFmtId="0" fontId="6" fillId="3" borderId="0" xfId="0" applyFont="1" applyFill="1" applyAlignment="1">
      <alignment horizontal="left"/>
    </xf>
    <xf numFmtId="0" fontId="6" fillId="2" borderId="0" xfId="0" applyFont="1" applyFill="1" applyAlignment="1">
      <alignment vertical="top"/>
    </xf>
    <xf numFmtId="0" fontId="5" fillId="2" borderId="0" xfId="0" applyFont="1" applyFill="1" applyAlignment="1">
      <alignment horizontal="left"/>
    </xf>
    <xf numFmtId="0" fontId="7" fillId="2" borderId="0" xfId="0" quotePrefix="1" applyFont="1" applyFill="1" applyBorder="1" applyAlignment="1">
      <alignment horizontal="left" vertical="top" wrapText="1"/>
    </xf>
    <xf numFmtId="0" fontId="51" fillId="2" borderId="0" xfId="0" applyFont="1" applyFill="1"/>
    <xf numFmtId="0" fontId="52" fillId="2" borderId="0" xfId="0" applyFont="1" applyFill="1"/>
    <xf numFmtId="0" fontId="9" fillId="2" borderId="0" xfId="0" applyFont="1" applyFill="1" applyBorder="1" applyAlignment="1">
      <alignment horizontal="left"/>
    </xf>
    <xf numFmtId="0" fontId="30" fillId="2" borderId="0" xfId="0" applyFont="1" applyFill="1" applyBorder="1"/>
    <xf numFmtId="0" fontId="30" fillId="2" borderId="0" xfId="0" applyFont="1" applyFill="1"/>
    <xf numFmtId="0" fontId="7" fillId="2" borderId="0" xfId="0" applyFont="1" applyFill="1" applyBorder="1" applyAlignment="1">
      <alignment vertical="top"/>
    </xf>
    <xf numFmtId="0" fontId="52" fillId="2" borderId="0" xfId="0" applyFont="1" applyFill="1" applyBorder="1"/>
    <xf numFmtId="0" fontId="30" fillId="2" borderId="0" xfId="0" applyFont="1" applyFill="1" applyAlignment="1">
      <alignment horizontal="left"/>
    </xf>
    <xf numFmtId="0" fontId="30" fillId="2" borderId="0" xfId="0" applyFont="1" applyFill="1" applyAlignment="1">
      <alignment vertical="top"/>
    </xf>
    <xf numFmtId="0" fontId="7" fillId="3" borderId="35" xfId="0" applyFont="1" applyFill="1" applyBorder="1"/>
    <xf numFmtId="0" fontId="30" fillId="2" borderId="35" xfId="0" applyFont="1" applyFill="1" applyBorder="1"/>
    <xf numFmtId="0" fontId="53" fillId="2" borderId="0" xfId="0" applyFont="1" applyFill="1" applyBorder="1" applyAlignment="1">
      <alignment horizontal="left" vertical="center" wrapText="1"/>
    </xf>
    <xf numFmtId="0" fontId="7" fillId="2" borderId="0" xfId="0" applyFont="1" applyFill="1" applyBorder="1" applyAlignment="1">
      <alignment vertical="center"/>
    </xf>
    <xf numFmtId="0" fontId="7" fillId="2" borderId="0" xfId="0" applyFont="1" applyFill="1" applyBorder="1" applyAlignment="1">
      <alignment vertical="top" wrapText="1"/>
    </xf>
    <xf numFmtId="0" fontId="7" fillId="2" borderId="0" xfId="0" quotePrefix="1" applyFont="1" applyFill="1" applyAlignment="1">
      <alignment horizontal="left" vertical="top"/>
    </xf>
    <xf numFmtId="0" fontId="52" fillId="2" borderId="0" xfId="0" applyFont="1" applyFill="1" applyBorder="1" applyAlignment="1">
      <alignment horizontal="left" vertical="top" wrapText="1"/>
    </xf>
    <xf numFmtId="0" fontId="20" fillId="2" borderId="0" xfId="0" applyFont="1" applyFill="1" applyAlignment="1">
      <alignment horizontal="right" vertical="top"/>
    </xf>
    <xf numFmtId="0" fontId="20" fillId="2" borderId="0" xfId="0" applyFont="1" applyFill="1" applyAlignment="1">
      <alignment vertical="top"/>
    </xf>
    <xf numFmtId="0" fontId="15" fillId="2" borderId="0" xfId="0" applyFont="1" applyFill="1" applyAlignment="1">
      <alignment vertical="top"/>
    </xf>
    <xf numFmtId="0" fontId="51" fillId="2" borderId="0" xfId="0" applyFont="1" applyFill="1" applyAlignment="1">
      <alignment vertical="top"/>
    </xf>
    <xf numFmtId="0" fontId="52" fillId="2" borderId="0" xfId="0" applyFont="1" applyFill="1" applyAlignment="1">
      <alignment vertical="top"/>
    </xf>
    <xf numFmtId="0" fontId="28" fillId="3" borderId="34" xfId="0" applyFont="1" applyFill="1" applyBorder="1" applyAlignment="1">
      <alignment horizontal="left"/>
    </xf>
    <xf numFmtId="9" fontId="9" fillId="3" borderId="19" xfId="2" applyFont="1" applyFill="1" applyBorder="1" applyAlignment="1">
      <alignment horizontal="right" vertical="top" wrapText="1"/>
    </xf>
    <xf numFmtId="0" fontId="7" fillId="2" borderId="36" xfId="0" applyFont="1" applyFill="1" applyBorder="1"/>
    <xf numFmtId="0" fontId="9" fillId="2" borderId="35" xfId="0" applyFont="1" applyFill="1" applyBorder="1" applyAlignment="1">
      <alignment horizontal="right" wrapText="1"/>
    </xf>
    <xf numFmtId="0" fontId="6" fillId="2" borderId="36" xfId="0" applyFont="1" applyFill="1" applyBorder="1"/>
    <xf numFmtId="0" fontId="5" fillId="3" borderId="35" xfId="0" applyFont="1" applyFill="1" applyBorder="1" applyAlignment="1">
      <alignment horizontal="center" wrapText="1"/>
    </xf>
    <xf numFmtId="0" fontId="5" fillId="2" borderId="35" xfId="0" applyFont="1" applyFill="1" applyBorder="1"/>
    <xf numFmtId="0" fontId="9" fillId="2" borderId="0" xfId="0" applyFont="1" applyFill="1" applyBorder="1" applyAlignment="1">
      <alignment horizontal="right"/>
    </xf>
    <xf numFmtId="0" fontId="9" fillId="2" borderId="0" xfId="0" applyFont="1" applyFill="1" applyBorder="1" applyAlignment="1">
      <alignment horizontal="right" wrapText="1"/>
    </xf>
    <xf numFmtId="0" fontId="6" fillId="2" borderId="0" xfId="0" applyFont="1" applyFill="1" applyBorder="1" applyAlignment="1">
      <alignment horizontal="center" wrapText="1"/>
    </xf>
    <xf numFmtId="0" fontId="7" fillId="2" borderId="0" xfId="0" quotePrefix="1" applyFont="1" applyFill="1"/>
    <xf numFmtId="4" fontId="7" fillId="2" borderId="0" xfId="0" applyNumberFormat="1" applyFont="1" applyFill="1"/>
    <xf numFmtId="0" fontId="47" fillId="2" borderId="0" xfId="0" applyFont="1" applyFill="1" applyAlignment="1">
      <alignment horizontal="left"/>
    </xf>
    <xf numFmtId="0" fontId="47" fillId="2" borderId="37" xfId="0" applyFont="1" applyFill="1" applyBorder="1" applyAlignment="1">
      <alignment horizontal="left"/>
    </xf>
    <xf numFmtId="0" fontId="47" fillId="2" borderId="0" xfId="0" applyFont="1" applyFill="1" applyBorder="1" applyAlignment="1">
      <alignment horizontal="left"/>
    </xf>
    <xf numFmtId="0" fontId="7" fillId="2" borderId="0" xfId="0" quotePrefix="1" applyFont="1" applyFill="1" applyAlignment="1">
      <alignment vertical="top" wrapText="1"/>
    </xf>
    <xf numFmtId="4" fontId="7" fillId="2" borderId="0" xfId="0" applyNumberFormat="1" applyFont="1" applyFill="1" applyAlignment="1">
      <alignment wrapText="1"/>
    </xf>
    <xf numFmtId="0" fontId="6" fillId="2" borderId="0" xfId="0" applyFont="1" applyFill="1" applyAlignment="1">
      <alignment vertical="top" wrapText="1" shrinkToFit="1"/>
    </xf>
    <xf numFmtId="0" fontId="7" fillId="2" borderId="0" xfId="0" quotePrefix="1" applyFont="1" applyFill="1" applyAlignment="1">
      <alignment wrapText="1"/>
    </xf>
    <xf numFmtId="0" fontId="7" fillId="2" borderId="0" xfId="0" applyFont="1" applyFill="1" applyAlignment="1">
      <alignment wrapText="1"/>
    </xf>
    <xf numFmtId="4" fontId="7" fillId="2" borderId="0" xfId="0" applyNumberFormat="1" applyFont="1" applyFill="1" applyAlignment="1"/>
    <xf numFmtId="4" fontId="6" fillId="3" borderId="0" xfId="0" applyNumberFormat="1" applyFont="1" applyFill="1"/>
    <xf numFmtId="0" fontId="47" fillId="2" borderId="0" xfId="0" applyFont="1" applyFill="1" applyAlignment="1">
      <alignment horizontal="left" vertical="top"/>
    </xf>
    <xf numFmtId="0" fontId="7" fillId="2" borderId="0" xfId="0" quotePrefix="1" applyFont="1" applyFill="1" applyBorder="1" applyAlignment="1">
      <alignment wrapText="1"/>
    </xf>
    <xf numFmtId="4" fontId="7" fillId="2" borderId="0" xfId="0" applyNumberFormat="1" applyFont="1" applyFill="1" applyBorder="1" applyAlignment="1"/>
    <xf numFmtId="0" fontId="7" fillId="2" borderId="35" xfId="0" quotePrefix="1" applyFont="1" applyFill="1" applyBorder="1" applyAlignment="1">
      <alignment wrapText="1"/>
    </xf>
    <xf numFmtId="167" fontId="7" fillId="2" borderId="35" xfId="0" applyNumberFormat="1" applyFont="1" applyFill="1" applyBorder="1" applyAlignment="1"/>
    <xf numFmtId="167" fontId="13" fillId="2" borderId="35" xfId="0" applyNumberFormat="1" applyFont="1" applyFill="1" applyBorder="1" applyAlignment="1"/>
    <xf numFmtId="0" fontId="47" fillId="2" borderId="35" xfId="0" applyFont="1" applyFill="1" applyBorder="1" applyAlignment="1">
      <alignment horizontal="left"/>
    </xf>
    <xf numFmtId="0" fontId="6" fillId="2" borderId="35" xfId="0" applyFont="1" applyFill="1" applyBorder="1"/>
    <xf numFmtId="3" fontId="49" fillId="2" borderId="0" xfId="0" applyNumberFormat="1" applyFont="1" applyFill="1" applyAlignment="1">
      <alignment horizontal="left"/>
    </xf>
    <xf numFmtId="167" fontId="4" fillId="2" borderId="0" xfId="0" applyNumberFormat="1" applyFont="1" applyFill="1" applyAlignment="1">
      <alignment horizontal="left"/>
    </xf>
    <xf numFmtId="0" fontId="4" fillId="2" borderId="0" xfId="0" applyFont="1" applyFill="1" applyAlignment="1">
      <alignment horizontal="left" indent="2"/>
    </xf>
    <xf numFmtId="0" fontId="9" fillId="2" borderId="14" xfId="0" applyFont="1" applyFill="1" applyBorder="1" applyAlignment="1">
      <alignment horizontal="left" vertical="top" wrapText="1"/>
    </xf>
    <xf numFmtId="0" fontId="9" fillId="2" borderId="32" xfId="0" applyFont="1" applyFill="1" applyBorder="1" applyAlignment="1">
      <alignment horizontal="left" vertical="top" wrapText="1"/>
    </xf>
    <xf numFmtId="0" fontId="0" fillId="2" borderId="0" xfId="0" applyFont="1" applyFill="1" applyAlignment="1">
      <alignment vertical="top"/>
    </xf>
    <xf numFmtId="0" fontId="0" fillId="2" borderId="0" xfId="0" applyFill="1" applyAlignment="1">
      <alignment vertical="top"/>
    </xf>
    <xf numFmtId="0" fontId="5" fillId="2" borderId="3" xfId="0" applyFont="1" applyFill="1" applyBorder="1" applyAlignment="1">
      <alignment horizontal="left" vertical="top" wrapText="1"/>
    </xf>
    <xf numFmtId="0" fontId="5" fillId="2" borderId="3" xfId="0" applyFont="1" applyFill="1" applyBorder="1" applyAlignment="1">
      <alignment horizontal="center" vertical="top" wrapText="1"/>
    </xf>
    <xf numFmtId="0" fontId="16" fillId="2" borderId="0" xfId="0" applyFont="1" applyFill="1" applyAlignment="1">
      <alignment vertical="top"/>
    </xf>
    <xf numFmtId="4" fontId="6" fillId="0" borderId="0" xfId="0" applyNumberFormat="1" applyFont="1" applyFill="1" applyAlignment="1">
      <alignment vertical="top"/>
    </xf>
    <xf numFmtId="3" fontId="30" fillId="3" borderId="0" xfId="0" applyNumberFormat="1" applyFont="1" applyFill="1" applyBorder="1" applyAlignment="1" applyProtection="1">
      <alignment horizontal="center" vertical="center"/>
      <protection locked="0"/>
    </xf>
    <xf numFmtId="3" fontId="7" fillId="3" borderId="0" xfId="0" applyNumberFormat="1" applyFont="1" applyFill="1" applyBorder="1" applyAlignment="1">
      <alignment horizontal="right" vertical="center" indent="4"/>
    </xf>
    <xf numFmtId="0" fontId="33" fillId="3" borderId="0" xfId="0" applyFont="1" applyFill="1" applyBorder="1" applyAlignment="1">
      <alignment horizontal="left"/>
    </xf>
    <xf numFmtId="3" fontId="30" fillId="3" borderId="0" xfId="0" applyNumberFormat="1" applyFont="1" applyFill="1" applyBorder="1" applyAlignment="1">
      <alignment horizontal="center" vertical="center"/>
    </xf>
    <xf numFmtId="0" fontId="8" fillId="0" borderId="0" xfId="0" applyFont="1" applyFill="1" applyBorder="1" applyAlignment="1">
      <alignment vertical="top"/>
    </xf>
    <xf numFmtId="0" fontId="28" fillId="3" borderId="0" xfId="0" applyFont="1" applyFill="1" applyAlignment="1">
      <alignment horizontal="right"/>
    </xf>
    <xf numFmtId="0" fontId="28" fillId="3" borderId="0" xfId="0" applyFont="1" applyFill="1" applyAlignment="1">
      <alignment horizontal="left"/>
    </xf>
    <xf numFmtId="0" fontId="52" fillId="3" borderId="0" xfId="0" applyFont="1" applyFill="1" applyBorder="1" applyAlignment="1">
      <alignment vertical="top"/>
    </xf>
    <xf numFmtId="0" fontId="28" fillId="3" borderId="0" xfId="0" applyFont="1" applyFill="1" applyAlignment="1">
      <alignment horizontal="center"/>
    </xf>
    <xf numFmtId="0" fontId="7" fillId="3" borderId="0" xfId="0" applyFont="1" applyFill="1" applyBorder="1" applyAlignment="1">
      <alignment vertical="top"/>
    </xf>
    <xf numFmtId="0" fontId="48" fillId="3" borderId="0" xfId="0" applyFont="1" applyFill="1" applyAlignment="1">
      <alignment horizontal="left" vertical="top"/>
    </xf>
    <xf numFmtId="0" fontId="28" fillId="3" borderId="19" xfId="0" applyFont="1" applyFill="1" applyBorder="1"/>
    <xf numFmtId="0" fontId="28" fillId="3" borderId="19" xfId="0" applyFont="1" applyFill="1" applyBorder="1" applyAlignment="1">
      <alignment horizontal="right"/>
    </xf>
    <xf numFmtId="0" fontId="28" fillId="3" borderId="0" xfId="0" applyFont="1" applyFill="1" applyBorder="1"/>
    <xf numFmtId="0" fontId="28" fillId="3" borderId="0" xfId="0" applyFont="1" applyFill="1" applyBorder="1" applyAlignment="1">
      <alignment horizontal="right"/>
    </xf>
    <xf numFmtId="0" fontId="28" fillId="3" borderId="35" xfId="0" applyFont="1" applyFill="1" applyBorder="1"/>
    <xf numFmtId="0" fontId="28" fillId="3" borderId="23" xfId="0" applyFont="1" applyFill="1" applyBorder="1" applyAlignment="1">
      <alignment horizontal="left"/>
    </xf>
    <xf numFmtId="4" fontId="28" fillId="3" borderId="0" xfId="0" applyNumberFormat="1" applyFont="1" applyFill="1" applyBorder="1"/>
    <xf numFmtId="43" fontId="28" fillId="3" borderId="0" xfId="0" applyNumberFormat="1" applyFont="1" applyFill="1" applyBorder="1" applyAlignment="1">
      <alignment horizontal="right" wrapText="1"/>
    </xf>
    <xf numFmtId="4" fontId="28" fillId="3" borderId="0" xfId="0" applyNumberFormat="1" applyFont="1" applyFill="1" applyBorder="1" applyAlignment="1">
      <alignment horizontal="right"/>
    </xf>
    <xf numFmtId="4" fontId="28" fillId="3" borderId="24" xfId="0" applyNumberFormat="1" applyFont="1" applyFill="1" applyBorder="1" applyAlignment="1">
      <alignment horizontal="right"/>
    </xf>
    <xf numFmtId="4" fontId="28" fillId="3" borderId="24" xfId="0" applyNumberFormat="1" applyFont="1" applyFill="1" applyBorder="1"/>
    <xf numFmtId="0" fontId="28" fillId="3" borderId="24" xfId="0" applyFont="1" applyFill="1" applyBorder="1" applyAlignment="1">
      <alignment horizontal="right"/>
    </xf>
    <xf numFmtId="0" fontId="28" fillId="3" borderId="24" xfId="0" applyFont="1" applyFill="1" applyBorder="1"/>
    <xf numFmtId="8" fontId="28" fillId="3" borderId="0" xfId="0" applyNumberFormat="1" applyFont="1" applyFill="1" applyAlignment="1">
      <alignment horizontal="right"/>
    </xf>
    <xf numFmtId="167" fontId="30" fillId="0" borderId="40" xfId="0" applyNumberFormat="1" applyFont="1" applyFill="1" applyBorder="1" applyAlignment="1">
      <alignment horizontal="right" vertical="top"/>
    </xf>
    <xf numFmtId="0" fontId="7" fillId="0" borderId="40" xfId="0" applyFont="1" applyFill="1" applyBorder="1" applyAlignment="1">
      <alignment vertical="top" wrapText="1"/>
    </xf>
    <xf numFmtId="0" fontId="12" fillId="3" borderId="0" xfId="0" applyFont="1" applyFill="1" applyAlignment="1">
      <alignment vertical="top" wrapText="1"/>
    </xf>
    <xf numFmtId="0" fontId="9" fillId="3" borderId="1" xfId="0" applyFont="1" applyFill="1" applyBorder="1" applyAlignment="1">
      <alignment horizontal="center"/>
    </xf>
    <xf numFmtId="0" fontId="38" fillId="3" borderId="1" xfId="0" applyFont="1" applyFill="1" applyBorder="1" applyAlignment="1">
      <alignment horizontal="center"/>
    </xf>
    <xf numFmtId="0" fontId="48" fillId="3" borderId="2" xfId="0" applyFont="1" applyFill="1" applyBorder="1" applyAlignment="1">
      <alignment horizontal="right" vertical="top" wrapText="1"/>
    </xf>
    <xf numFmtId="0" fontId="7" fillId="3" borderId="0" xfId="0" quotePrefix="1" applyFont="1" applyFill="1" applyBorder="1" applyAlignment="1">
      <alignment horizontal="left" vertical="top"/>
    </xf>
    <xf numFmtId="0" fontId="30" fillId="3" borderId="23" xfId="0" applyFont="1" applyFill="1" applyBorder="1" applyAlignment="1">
      <alignment horizontal="left"/>
    </xf>
    <xf numFmtId="0" fontId="30" fillId="3" borderId="0" xfId="0" applyFont="1" applyFill="1" applyBorder="1"/>
    <xf numFmtId="0" fontId="30" fillId="3" borderId="0" xfId="0" applyFont="1" applyFill="1"/>
    <xf numFmtId="0" fontId="30" fillId="3" borderId="0" xfId="0" applyFont="1" applyFill="1" applyBorder="1" applyAlignment="1">
      <alignment horizontal="right"/>
    </xf>
    <xf numFmtId="168" fontId="30" fillId="3" borderId="24" xfId="0" applyNumberFormat="1" applyFont="1" applyFill="1" applyBorder="1"/>
    <xf numFmtId="0" fontId="30" fillId="3" borderId="24" xfId="0" applyFont="1" applyFill="1" applyBorder="1"/>
    <xf numFmtId="0" fontId="38" fillId="3" borderId="0" xfId="0" applyFont="1" applyFill="1" applyBorder="1" applyAlignment="1">
      <alignment horizontal="right"/>
    </xf>
    <xf numFmtId="168" fontId="38" fillId="3" borderId="24" xfId="0" applyNumberFormat="1" applyFont="1" applyFill="1" applyBorder="1"/>
    <xf numFmtId="2" fontId="38" fillId="3" borderId="24" xfId="0" applyNumberFormat="1" applyFont="1" applyFill="1" applyBorder="1" applyAlignment="1">
      <alignment horizontal="right"/>
    </xf>
    <xf numFmtId="0" fontId="30" fillId="3" borderId="38" xfId="0" applyFont="1" applyFill="1" applyBorder="1" applyAlignment="1">
      <alignment horizontal="left"/>
    </xf>
    <xf numFmtId="0" fontId="30" fillId="3" borderId="35" xfId="0" applyFont="1" applyFill="1" applyBorder="1"/>
    <xf numFmtId="0" fontId="38" fillId="3" borderId="35" xfId="0" applyFont="1" applyFill="1" applyBorder="1" applyAlignment="1">
      <alignment horizontal="right"/>
    </xf>
    <xf numFmtId="0" fontId="38" fillId="3" borderId="39" xfId="0" applyFont="1" applyFill="1" applyBorder="1"/>
    <xf numFmtId="0" fontId="48" fillId="3" borderId="12" xfId="0" applyFont="1" applyFill="1" applyBorder="1" applyAlignment="1">
      <alignment horizontal="left" vertical="top"/>
    </xf>
    <xf numFmtId="0" fontId="48" fillId="3" borderId="0" xfId="0" applyFont="1" applyFill="1" applyBorder="1" applyAlignment="1">
      <alignment horizontal="right" vertical="top"/>
    </xf>
    <xf numFmtId="0" fontId="48" fillId="3" borderId="0" xfId="0" applyFont="1" applyFill="1" applyBorder="1" applyAlignment="1">
      <alignment horizontal="right" vertical="top" wrapText="1"/>
    </xf>
    <xf numFmtId="0" fontId="48" fillId="3" borderId="24" xfId="0" applyFont="1" applyFill="1" applyBorder="1" applyAlignment="1">
      <alignment horizontal="right" vertical="top" wrapText="1"/>
    </xf>
    <xf numFmtId="0" fontId="28" fillId="3" borderId="0" xfId="0" applyFont="1" applyFill="1" applyAlignment="1">
      <alignment vertical="top"/>
    </xf>
    <xf numFmtId="0" fontId="48" fillId="3" borderId="2" xfId="0" applyFont="1" applyFill="1" applyBorder="1" applyAlignment="1">
      <alignment horizontal="right" vertical="top"/>
    </xf>
    <xf numFmtId="0" fontId="48" fillId="3" borderId="22" xfId="0" applyFont="1" applyFill="1" applyBorder="1" applyAlignment="1">
      <alignment horizontal="right" vertical="top" wrapText="1"/>
    </xf>
    <xf numFmtId="4" fontId="16" fillId="2" borderId="0" xfId="0" applyNumberFormat="1" applyFont="1" applyFill="1" applyAlignment="1">
      <alignmen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9" fillId="2" borderId="35" xfId="0" applyFont="1" applyFill="1" applyBorder="1" applyAlignment="1">
      <alignment horizontal="left"/>
    </xf>
    <xf numFmtId="0" fontId="30" fillId="2" borderId="0" xfId="0" applyFont="1" applyFill="1" applyAlignment="1">
      <alignment horizontal="left" vertical="top" wrapText="1"/>
    </xf>
    <xf numFmtId="0" fontId="30" fillId="2" borderId="0" xfId="0" applyFont="1" applyFill="1" applyBorder="1" applyAlignment="1">
      <alignment horizontal="left" vertical="top" wrapText="1"/>
    </xf>
    <xf numFmtId="0" fontId="36" fillId="2" borderId="0" xfId="0" applyFont="1" applyFill="1" applyBorder="1" applyAlignment="1">
      <alignment horizontal="left" vertical="top" wrapText="1"/>
    </xf>
    <xf numFmtId="0" fontId="6" fillId="3" borderId="0" xfId="0" applyFont="1" applyFill="1" applyAlignment="1">
      <alignment horizontal="left" vertical="top" wrapText="1"/>
    </xf>
    <xf numFmtId="0" fontId="6" fillId="2" borderId="0" xfId="0" applyFont="1" applyFill="1" applyAlignment="1">
      <alignment horizontal="left" vertical="top" wrapText="1"/>
    </xf>
    <xf numFmtId="0" fontId="4" fillId="3" borderId="0" xfId="0" applyFont="1" applyFill="1" applyAlignment="1">
      <alignment horizontal="left" vertical="top" wrapText="1"/>
    </xf>
    <xf numFmtId="0" fontId="8" fillId="3" borderId="29" xfId="0" applyFont="1" applyFill="1" applyBorder="1" applyAlignment="1">
      <alignment horizontal="left" vertical="top" wrapText="1"/>
    </xf>
    <xf numFmtId="0" fontId="9" fillId="3" borderId="3" xfId="0" applyFont="1" applyFill="1" applyBorder="1" applyAlignment="1">
      <alignment horizontal="center"/>
    </xf>
    <xf numFmtId="0" fontId="12" fillId="3" borderId="0" xfId="0" applyFont="1" applyFill="1" applyAlignment="1">
      <alignment horizontal="left" wrapText="1"/>
    </xf>
    <xf numFmtId="0" fontId="9" fillId="3" borderId="2" xfId="0" applyFont="1" applyFill="1" applyBorder="1" applyAlignment="1">
      <alignment horizontal="center" vertical="top" wrapText="1"/>
    </xf>
    <xf numFmtId="0" fontId="9" fillId="3" borderId="34" xfId="0" applyFont="1" applyFill="1" applyBorder="1" applyAlignment="1">
      <alignment horizontal="center" vertical="top" wrapText="1"/>
    </xf>
    <xf numFmtId="0" fontId="12" fillId="3" borderId="0" xfId="0" applyFont="1" applyFill="1" applyAlignment="1">
      <alignment horizontal="left" vertical="top" wrapText="1"/>
    </xf>
    <xf numFmtId="0" fontId="9" fillId="3" borderId="21" xfId="0" applyFont="1" applyFill="1" applyBorder="1" applyAlignment="1">
      <alignment horizontal="center"/>
    </xf>
    <xf numFmtId="0" fontId="9" fillId="3" borderId="2" xfId="0" applyFont="1" applyFill="1" applyBorder="1" applyAlignment="1">
      <alignment horizontal="center" wrapText="1"/>
    </xf>
    <xf numFmtId="0" fontId="9" fillId="3" borderId="19" xfId="0" applyFont="1" applyFill="1" applyBorder="1" applyAlignment="1">
      <alignment horizontal="center" wrapText="1"/>
    </xf>
    <xf numFmtId="0" fontId="8" fillId="2" borderId="1" xfId="0" applyFont="1" applyFill="1" applyBorder="1" applyAlignment="1">
      <alignment horizontal="left"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2" borderId="0" xfId="0" applyFont="1" applyFill="1" applyBorder="1" applyAlignment="1">
      <alignment horizontal="left" vertical="top" wrapText="1"/>
    </xf>
    <xf numFmtId="0" fontId="8" fillId="2" borderId="29" xfId="0" applyFont="1" applyFill="1" applyBorder="1" applyAlignment="1">
      <alignment horizontal="left" vertical="top" wrapText="1"/>
    </xf>
    <xf numFmtId="0" fontId="33" fillId="3" borderId="0" xfId="0" applyFont="1" applyFill="1" applyAlignment="1">
      <alignment horizontal="left" vertical="top" wrapText="1"/>
    </xf>
    <xf numFmtId="0" fontId="33" fillId="3"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wrapText="1"/>
    </xf>
    <xf numFmtId="0" fontId="2" fillId="2" borderId="35" xfId="0" applyFont="1" applyFill="1" applyBorder="1" applyAlignment="1">
      <alignment horizontal="left" wrapText="1"/>
    </xf>
    <xf numFmtId="0" fontId="8" fillId="3" borderId="1" xfId="0" applyFont="1" applyFill="1" applyBorder="1" applyAlignment="1">
      <alignment horizontal="left" wrapText="1"/>
    </xf>
    <xf numFmtId="0" fontId="48" fillId="3" borderId="2" xfId="0" applyFont="1" applyFill="1" applyBorder="1" applyAlignment="1">
      <alignment horizontal="right" vertical="top" wrapText="1"/>
    </xf>
    <xf numFmtId="0" fontId="48" fillId="3" borderId="16" xfId="0" applyFont="1" applyFill="1" applyBorder="1" applyAlignment="1">
      <alignment horizontal="right" vertical="top" wrapText="1"/>
    </xf>
    <xf numFmtId="0" fontId="9" fillId="3" borderId="16"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19" xfId="0" applyFont="1" applyFill="1" applyBorder="1" applyAlignment="1">
      <alignment horizontal="center" vertical="top" wrapText="1"/>
    </xf>
    <xf numFmtId="0" fontId="9" fillId="3" borderId="19" xfId="0" applyFont="1" applyFill="1" applyBorder="1" applyAlignment="1">
      <alignment horizontal="center" vertical="top" wrapText="1"/>
    </xf>
    <xf numFmtId="0" fontId="9" fillId="3" borderId="20" xfId="0" applyFont="1" applyFill="1" applyBorder="1" applyAlignment="1">
      <alignment horizontal="center" vertical="top" wrapText="1"/>
    </xf>
    <xf numFmtId="0" fontId="9" fillId="3" borderId="2" xfId="0" applyFont="1" applyFill="1" applyBorder="1" applyAlignment="1">
      <alignment horizontal="right" vertical="top" wrapText="1"/>
    </xf>
    <xf numFmtId="0" fontId="9" fillId="3" borderId="19" xfId="0" applyFont="1" applyFill="1" applyBorder="1" applyAlignment="1">
      <alignment horizontal="right" vertical="top" wrapText="1"/>
    </xf>
    <xf numFmtId="0" fontId="2" fillId="2" borderId="1" xfId="0" applyFont="1" applyFill="1" applyBorder="1" applyAlignment="1">
      <alignment horizontal="left" wrapText="1"/>
    </xf>
  </cellXfs>
  <cellStyles count="20">
    <cellStyle name="Currency 2" xfId="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ormal" xfId="0" builtinId="0"/>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R35"/>
  <sheetViews>
    <sheetView tabSelected="1" zoomScaleNormal="100" workbookViewId="0">
      <selection activeCell="B3" sqref="B3"/>
    </sheetView>
  </sheetViews>
  <sheetFormatPr defaultColWidth="9.140625" defaultRowHeight="15"/>
  <cols>
    <col min="1" max="1" width="9.140625" style="32"/>
    <col min="2" max="2" width="4.28515625" style="317" customWidth="1"/>
    <col min="3" max="3" width="30.28515625" style="32" customWidth="1"/>
    <col min="4" max="4" width="2.28515625" style="32" customWidth="1"/>
    <col min="5" max="13" width="9.140625" style="32"/>
    <col min="14" max="14" width="4.85546875" style="32" customWidth="1"/>
    <col min="15" max="15" width="14.7109375" style="32" customWidth="1"/>
    <col min="16" max="16384" width="9.140625" style="32"/>
  </cols>
  <sheetData>
    <row r="2" spans="1:18" ht="43.5" customHeight="1">
      <c r="B2" s="442" t="s">
        <v>374</v>
      </c>
      <c r="C2" s="442"/>
      <c r="D2" s="442"/>
      <c r="E2" s="442"/>
      <c r="F2" s="442"/>
      <c r="G2" s="442"/>
      <c r="H2" s="442"/>
      <c r="I2" s="442"/>
      <c r="J2" s="442"/>
      <c r="K2" s="442"/>
      <c r="L2" s="442"/>
      <c r="M2" s="442"/>
    </row>
    <row r="3" spans="1:18" ht="15.75">
      <c r="B3" s="283"/>
    </row>
    <row r="4" spans="1:18">
      <c r="B4" s="16" t="s">
        <v>62</v>
      </c>
      <c r="C4" s="3"/>
      <c r="D4" s="3"/>
      <c r="E4" s="3"/>
      <c r="F4" s="3"/>
      <c r="G4" s="3"/>
      <c r="H4" s="3"/>
      <c r="I4" s="3"/>
      <c r="J4" s="3"/>
      <c r="K4" s="3"/>
    </row>
    <row r="5" spans="1:18" s="72" customFormat="1" ht="35.25" customHeight="1">
      <c r="B5" s="414" t="s">
        <v>47</v>
      </c>
      <c r="C5" s="443" t="s">
        <v>372</v>
      </c>
      <c r="D5" s="443"/>
      <c r="E5" s="443"/>
      <c r="F5" s="443"/>
      <c r="G5" s="443"/>
      <c r="H5" s="443"/>
      <c r="I5" s="443"/>
      <c r="J5" s="443"/>
      <c r="K5" s="443"/>
      <c r="L5" s="443"/>
    </row>
    <row r="6" spans="1:18" ht="61.5" customHeight="1">
      <c r="B6" s="316" t="s">
        <v>48</v>
      </c>
      <c r="C6" s="444" t="s">
        <v>371</v>
      </c>
      <c r="D6" s="444"/>
      <c r="E6" s="444"/>
      <c r="F6" s="444"/>
      <c r="G6" s="444"/>
      <c r="H6" s="444"/>
      <c r="I6" s="444"/>
      <c r="J6" s="444"/>
      <c r="K6" s="444"/>
      <c r="L6" s="444"/>
    </row>
    <row r="7" spans="1:18">
      <c r="B7" s="316" t="s">
        <v>49</v>
      </c>
      <c r="C7" s="3" t="s">
        <v>63</v>
      </c>
      <c r="D7" s="3"/>
      <c r="E7" s="3"/>
      <c r="F7" s="3"/>
      <c r="G7" s="3"/>
      <c r="H7" s="3"/>
      <c r="I7" s="3"/>
      <c r="J7" s="3"/>
      <c r="K7" s="3"/>
    </row>
    <row r="8" spans="1:18" ht="48.75" customHeight="1">
      <c r="B8" s="316" t="s">
        <v>50</v>
      </c>
      <c r="C8" s="438" t="s">
        <v>373</v>
      </c>
      <c r="D8" s="438"/>
      <c r="E8" s="438"/>
      <c r="F8" s="438"/>
      <c r="G8" s="438"/>
      <c r="H8" s="438"/>
      <c r="I8" s="438"/>
      <c r="J8" s="438"/>
      <c r="K8" s="438"/>
      <c r="L8" s="438"/>
    </row>
    <row r="10" spans="1:18">
      <c r="A10" s="318"/>
      <c r="B10" s="319" t="s">
        <v>64</v>
      </c>
      <c r="P10" s="36"/>
      <c r="Q10" s="36"/>
    </row>
    <row r="11" spans="1:18" s="318" customFormat="1" ht="47.25" customHeight="1">
      <c r="B11" s="320" t="s">
        <v>47</v>
      </c>
      <c r="C11" s="444" t="s">
        <v>241</v>
      </c>
      <c r="D11" s="444"/>
      <c r="E11" s="444"/>
      <c r="F11" s="444"/>
      <c r="G11" s="444"/>
      <c r="H11" s="444"/>
      <c r="I11" s="444"/>
      <c r="J11" s="444"/>
      <c r="K11" s="444"/>
      <c r="L11" s="444"/>
      <c r="P11" s="337"/>
      <c r="Q11" s="337"/>
    </row>
    <row r="12" spans="1:18" s="318" customFormat="1" ht="48" customHeight="1">
      <c r="B12" s="320" t="s">
        <v>48</v>
      </c>
      <c r="C12" s="438" t="s">
        <v>242</v>
      </c>
      <c r="D12" s="438"/>
      <c r="E12" s="438"/>
      <c r="F12" s="438"/>
      <c r="G12" s="438"/>
      <c r="H12" s="438"/>
      <c r="I12" s="438"/>
      <c r="J12" s="438"/>
      <c r="K12" s="438"/>
      <c r="L12" s="438"/>
      <c r="P12" s="338"/>
      <c r="Q12" s="338"/>
      <c r="R12" s="338"/>
    </row>
    <row r="13" spans="1:18" s="318" customFormat="1" ht="18" customHeight="1">
      <c r="B13" s="320" t="s">
        <v>49</v>
      </c>
      <c r="C13" s="438" t="s">
        <v>243</v>
      </c>
      <c r="D13" s="438"/>
      <c r="E13" s="438"/>
      <c r="F13" s="438"/>
      <c r="G13" s="438"/>
      <c r="H13" s="438"/>
      <c r="I13" s="438"/>
      <c r="J13" s="438"/>
      <c r="K13" s="438"/>
      <c r="L13" s="438"/>
      <c r="P13" s="338"/>
      <c r="Q13" s="338"/>
      <c r="R13" s="338"/>
    </row>
    <row r="14" spans="1:18" s="339" customFormat="1" ht="18" customHeight="1">
      <c r="B14" s="320" t="s">
        <v>50</v>
      </c>
      <c r="C14" s="438" t="s">
        <v>244</v>
      </c>
      <c r="D14" s="438"/>
      <c r="E14" s="438"/>
      <c r="F14" s="438"/>
      <c r="G14" s="438"/>
      <c r="H14" s="438"/>
      <c r="I14" s="438"/>
      <c r="J14" s="438"/>
      <c r="K14" s="438"/>
      <c r="L14" s="341"/>
    </row>
    <row r="15" spans="1:18" s="339" customFormat="1" ht="18" customHeight="1">
      <c r="B15" s="320" t="s">
        <v>52</v>
      </c>
      <c r="C15" s="438" t="s">
        <v>259</v>
      </c>
      <c r="D15" s="438"/>
      <c r="E15" s="438"/>
      <c r="F15" s="438"/>
      <c r="G15" s="438"/>
      <c r="H15" s="438"/>
      <c r="I15" s="438"/>
      <c r="J15" s="438"/>
      <c r="K15" s="438"/>
      <c r="L15" s="341"/>
    </row>
    <row r="16" spans="1:18" s="339" customFormat="1" ht="47.25" customHeight="1">
      <c r="B16" s="320" t="s">
        <v>57</v>
      </c>
      <c r="C16" s="438" t="s">
        <v>104</v>
      </c>
      <c r="D16" s="438"/>
      <c r="E16" s="438"/>
      <c r="F16" s="438"/>
      <c r="G16" s="438"/>
      <c r="H16" s="438"/>
      <c r="I16" s="438"/>
      <c r="J16" s="438"/>
      <c r="K16" s="438"/>
      <c r="L16" s="438"/>
      <c r="M16" s="287"/>
      <c r="O16" s="340"/>
      <c r="P16" s="340"/>
      <c r="Q16" s="340"/>
    </row>
    <row r="17" spans="1:17" s="339" customFormat="1" ht="18" customHeight="1">
      <c r="B17" s="320" t="s">
        <v>76</v>
      </c>
      <c r="C17" s="277" t="s">
        <v>245</v>
      </c>
      <c r="D17" s="277"/>
      <c r="E17" s="277"/>
      <c r="F17" s="277"/>
      <c r="G17" s="277"/>
      <c r="H17" s="277"/>
      <c r="I17" s="277"/>
      <c r="J17" s="277"/>
      <c r="K17" s="277"/>
      <c r="L17" s="341"/>
      <c r="N17" s="340"/>
      <c r="O17" s="340"/>
      <c r="P17" s="340"/>
      <c r="Q17" s="340"/>
    </row>
    <row r="18" spans="1:17" s="283" customFormat="1" ht="15.75">
      <c r="B18" s="317"/>
      <c r="C18" s="3"/>
      <c r="D18" s="3"/>
      <c r="E18" s="3"/>
      <c r="F18" s="3"/>
      <c r="G18" s="3" t="s">
        <v>246</v>
      </c>
      <c r="H18" s="3"/>
      <c r="I18" s="3"/>
      <c r="J18" s="3"/>
      <c r="K18" s="3"/>
      <c r="L18" s="322"/>
    </row>
    <row r="19" spans="1:17" s="283" customFormat="1" ht="15.75">
      <c r="A19" s="32"/>
      <c r="B19" s="317"/>
      <c r="C19" s="439" t="s">
        <v>370</v>
      </c>
      <c r="D19" s="439"/>
      <c r="E19" s="439"/>
      <c r="F19" s="439"/>
      <c r="G19" s="439"/>
      <c r="H19" s="439"/>
      <c r="I19" s="439"/>
      <c r="J19" s="439"/>
      <c r="K19" s="439"/>
      <c r="L19" s="3"/>
    </row>
    <row r="20" spans="1:17" s="283" customFormat="1" ht="15.75">
      <c r="A20" s="32"/>
      <c r="B20" s="317"/>
      <c r="C20" s="79" t="s">
        <v>332</v>
      </c>
      <c r="D20" s="79"/>
      <c r="E20" s="230" t="s">
        <v>182</v>
      </c>
      <c r="F20" s="323"/>
      <c r="G20" s="323"/>
      <c r="H20" s="323"/>
      <c r="I20" s="323"/>
      <c r="J20" s="323"/>
      <c r="K20" s="323"/>
      <c r="L20" s="3"/>
    </row>
    <row r="21" spans="1:17" s="283" customFormat="1" ht="15" customHeight="1">
      <c r="A21" s="32"/>
      <c r="B21" s="317"/>
      <c r="C21" s="1" t="s">
        <v>333</v>
      </c>
      <c r="D21" s="1"/>
      <c r="E21" s="324" t="s">
        <v>247</v>
      </c>
      <c r="F21" s="324"/>
      <c r="G21" s="324"/>
      <c r="H21" s="324"/>
      <c r="I21" s="324"/>
      <c r="J21" s="324"/>
      <c r="K21" s="324"/>
      <c r="L21" s="3"/>
      <c r="O21" s="321"/>
      <c r="P21" s="321"/>
      <c r="Q21" s="321"/>
    </row>
    <row r="22" spans="1:17" s="283" customFormat="1" ht="30" customHeight="1">
      <c r="A22" s="32"/>
      <c r="B22" s="317"/>
      <c r="C22" s="277" t="s">
        <v>334</v>
      </c>
      <c r="D22" s="3"/>
      <c r="E22" s="440" t="s">
        <v>248</v>
      </c>
      <c r="F22" s="440"/>
      <c r="G22" s="440"/>
      <c r="H22" s="440"/>
      <c r="I22" s="440"/>
      <c r="J22" s="440"/>
      <c r="K22" s="440"/>
      <c r="L22" s="440"/>
      <c r="O22" s="321"/>
      <c r="P22" s="321"/>
      <c r="Q22" s="321"/>
    </row>
    <row r="23" spans="1:17" s="283" customFormat="1" ht="15" customHeight="1">
      <c r="A23" s="32"/>
      <c r="B23" s="317"/>
      <c r="C23" s="3" t="s">
        <v>335</v>
      </c>
      <c r="D23" s="3"/>
      <c r="E23" s="325" t="s">
        <v>249</v>
      </c>
      <c r="F23" s="325"/>
      <c r="G23" s="325"/>
      <c r="H23" s="325"/>
      <c r="I23" s="325"/>
      <c r="J23" s="325"/>
      <c r="K23" s="325"/>
      <c r="L23" s="3"/>
      <c r="O23" s="321"/>
      <c r="P23" s="321"/>
      <c r="Q23" s="321"/>
    </row>
    <row r="24" spans="1:17" s="327" customFormat="1" ht="15" customHeight="1">
      <c r="A24" s="1"/>
      <c r="B24" s="317"/>
      <c r="C24" s="326" t="s">
        <v>46</v>
      </c>
      <c r="D24" s="1"/>
      <c r="E24" s="441" t="s">
        <v>250</v>
      </c>
      <c r="F24" s="441"/>
      <c r="G24" s="441"/>
      <c r="H24" s="441"/>
      <c r="I24" s="441"/>
      <c r="J24" s="441"/>
      <c r="K24" s="441"/>
      <c r="L24" s="1"/>
    </row>
    <row r="25" spans="1:17" s="327" customFormat="1" ht="15" customHeight="1">
      <c r="A25" s="1"/>
      <c r="B25" s="317"/>
      <c r="C25" s="3" t="s">
        <v>336</v>
      </c>
      <c r="D25" s="3"/>
      <c r="E25" s="325" t="s">
        <v>251</v>
      </c>
      <c r="F25" s="325"/>
      <c r="G25" s="325"/>
      <c r="H25" s="325"/>
      <c r="I25" s="325"/>
      <c r="J25" s="325"/>
      <c r="K25" s="325"/>
      <c r="L25" s="1"/>
    </row>
    <row r="26" spans="1:17" s="327" customFormat="1" ht="15" customHeight="1">
      <c r="A26" s="1"/>
      <c r="B26" s="317"/>
      <c r="C26" s="3" t="s">
        <v>337</v>
      </c>
      <c r="D26" s="3"/>
      <c r="E26" s="328" t="s">
        <v>252</v>
      </c>
      <c r="F26" s="325"/>
      <c r="G26" s="329"/>
      <c r="H26" s="325"/>
      <c r="I26" s="325"/>
      <c r="J26" s="325"/>
      <c r="K26" s="325"/>
      <c r="L26" s="1"/>
    </row>
    <row r="27" spans="1:17" s="327" customFormat="1" ht="15" customHeight="1">
      <c r="A27" s="1"/>
      <c r="B27" s="317"/>
      <c r="C27" s="3" t="s">
        <v>338</v>
      </c>
      <c r="D27" s="3"/>
      <c r="E27" s="325" t="s">
        <v>253</v>
      </c>
      <c r="F27" s="325"/>
      <c r="G27" s="325"/>
      <c r="H27" s="325"/>
      <c r="I27" s="325"/>
      <c r="J27" s="325"/>
      <c r="K27" s="325"/>
      <c r="L27" s="1"/>
    </row>
    <row r="28" spans="1:17" s="322" customFormat="1" ht="15" customHeight="1">
      <c r="A28" s="3"/>
      <c r="B28" s="317"/>
      <c r="C28" s="330" t="s">
        <v>339</v>
      </c>
      <c r="D28" s="330"/>
      <c r="E28" s="331" t="s">
        <v>254</v>
      </c>
      <c r="F28" s="331"/>
      <c r="G28" s="331"/>
      <c r="H28" s="331"/>
      <c r="I28" s="331"/>
      <c r="J28" s="331"/>
      <c r="K28" s="331"/>
      <c r="L28" s="3"/>
    </row>
    <row r="29" spans="1:17">
      <c r="C29" s="3"/>
      <c r="D29" s="3"/>
      <c r="E29" s="3"/>
      <c r="F29" s="3"/>
      <c r="G29" s="3"/>
      <c r="H29" s="3"/>
      <c r="I29" s="3"/>
      <c r="J29" s="3"/>
      <c r="K29" s="3"/>
      <c r="L29" s="3"/>
    </row>
    <row r="30" spans="1:17" ht="31.5" customHeight="1">
      <c r="B30" s="316" t="s">
        <v>97</v>
      </c>
      <c r="C30" s="436" t="s">
        <v>256</v>
      </c>
      <c r="D30" s="436"/>
      <c r="E30" s="436"/>
      <c r="F30" s="436"/>
      <c r="G30" s="436"/>
      <c r="H30" s="436"/>
      <c r="I30" s="436"/>
      <c r="J30" s="436"/>
      <c r="K30" s="436"/>
      <c r="L30" s="436"/>
      <c r="M30" s="332"/>
    </row>
    <row r="31" spans="1:17">
      <c r="B31" s="316" t="s">
        <v>120</v>
      </c>
      <c r="C31" s="333" t="s">
        <v>257</v>
      </c>
      <c r="D31" s="1"/>
      <c r="E31" s="1"/>
      <c r="F31" s="1"/>
      <c r="G31" s="334"/>
      <c r="H31" s="334"/>
      <c r="I31" s="334"/>
      <c r="J31" s="334"/>
      <c r="K31" s="334"/>
      <c r="L31" s="3"/>
    </row>
    <row r="32" spans="1:17" ht="18.75" customHeight="1">
      <c r="B32" s="335" t="s">
        <v>255</v>
      </c>
      <c r="C32" s="437" t="s">
        <v>258</v>
      </c>
      <c r="D32" s="437"/>
      <c r="E32" s="437"/>
      <c r="F32" s="437"/>
      <c r="G32" s="437"/>
      <c r="H32" s="437"/>
      <c r="I32" s="437"/>
      <c r="J32" s="437"/>
      <c r="K32" s="437"/>
      <c r="L32" s="437"/>
      <c r="M32" s="336"/>
    </row>
    <row r="33" spans="2:12">
      <c r="B33" s="335"/>
      <c r="C33" s="90"/>
      <c r="D33" s="90"/>
      <c r="E33" s="90"/>
      <c r="F33" s="90"/>
      <c r="G33" s="90"/>
      <c r="H33" s="90"/>
      <c r="I33" s="90"/>
      <c r="J33" s="90"/>
      <c r="K33" s="90"/>
      <c r="L33" s="90"/>
    </row>
    <row r="34" spans="2:12">
      <c r="C34" s="3"/>
      <c r="D34" s="3"/>
      <c r="E34" s="3"/>
      <c r="F34" s="3"/>
      <c r="G34" s="3"/>
      <c r="H34" s="3"/>
      <c r="I34" s="3"/>
      <c r="J34" s="3"/>
      <c r="K34" s="3"/>
      <c r="L34" s="3"/>
    </row>
    <row r="35" spans="2:12">
      <c r="C35" s="3"/>
      <c r="D35" s="3"/>
      <c r="E35" s="3"/>
      <c r="F35" s="3"/>
      <c r="G35" s="3"/>
      <c r="H35" s="3"/>
      <c r="I35" s="3"/>
      <c r="J35" s="3"/>
      <c r="K35" s="3"/>
      <c r="L35" s="3"/>
    </row>
  </sheetData>
  <protectedRanges>
    <protectedRange sqref="E20:L28" name="Range1"/>
  </protectedRanges>
  <mergeCells count="15">
    <mergeCell ref="C13:L13"/>
    <mergeCell ref="B2:M2"/>
    <mergeCell ref="C5:L5"/>
    <mergeCell ref="C8:L8"/>
    <mergeCell ref="C11:L11"/>
    <mergeCell ref="C12:L12"/>
    <mergeCell ref="C6:L6"/>
    <mergeCell ref="C30:L30"/>
    <mergeCell ref="C32:L32"/>
    <mergeCell ref="C14:K14"/>
    <mergeCell ref="C19:K19"/>
    <mergeCell ref="C16:L16"/>
    <mergeCell ref="E22:L22"/>
    <mergeCell ref="E24:K24"/>
    <mergeCell ref="C15:K15"/>
  </mergeCells>
  <phoneticPr fontId="21" type="noConversion"/>
  <pageMargins left="0.7" right="0.7" top="0.75" bottom="0.75" header="0.3" footer="0.3"/>
  <pageSetup scale="72" orientation="portrait"/>
  <ignoredErrors>
    <ignoredError sqref="B11:B12 B5:B8 B13:B32" numberStoredAsText="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B2:L25"/>
  <sheetViews>
    <sheetView workbookViewId="0">
      <selection activeCell="G16" sqref="G16"/>
    </sheetView>
  </sheetViews>
  <sheetFormatPr defaultColWidth="23.140625" defaultRowHeight="15.75"/>
  <cols>
    <col min="1" max="1" width="9.140625" style="160" customWidth="1"/>
    <col min="2" max="2" width="31.28515625" style="40" customWidth="1"/>
    <col min="3" max="3" width="16.42578125" style="40" customWidth="1"/>
    <col min="4" max="4" width="14.42578125" style="40" customWidth="1"/>
    <col min="5" max="5" width="14.7109375" style="40" customWidth="1"/>
    <col min="6" max="6" width="12.42578125" style="40" customWidth="1"/>
    <col min="7" max="7" width="17.140625" style="40" customWidth="1"/>
    <col min="8" max="8" width="14.42578125" style="40" customWidth="1"/>
    <col min="9" max="9" width="4.42578125" style="72" customWidth="1"/>
    <col min="10" max="10" width="20.85546875" style="160" customWidth="1"/>
    <col min="11" max="250" width="9.140625" style="160" customWidth="1"/>
    <col min="251" max="251" width="25" style="160" customWidth="1"/>
    <col min="252" max="16384" width="23.140625" style="160"/>
  </cols>
  <sheetData>
    <row r="2" spans="2:12" ht="20.25" customHeight="1">
      <c r="B2" s="446" t="s">
        <v>343</v>
      </c>
      <c r="C2" s="446"/>
      <c r="D2" s="446"/>
      <c r="E2" s="446"/>
      <c r="F2" s="446"/>
      <c r="G2" s="446"/>
      <c r="H2" s="446"/>
    </row>
    <row r="3" spans="2:12" ht="23.25" customHeight="1">
      <c r="B3" s="449" t="s">
        <v>368</v>
      </c>
      <c r="C3" s="469" t="s">
        <v>369</v>
      </c>
      <c r="D3" s="449" t="s">
        <v>284</v>
      </c>
      <c r="E3" s="472" t="s">
        <v>129</v>
      </c>
      <c r="F3" s="472"/>
      <c r="G3" s="473" t="s">
        <v>287</v>
      </c>
      <c r="H3" s="466" t="s">
        <v>132</v>
      </c>
      <c r="L3" s="157"/>
    </row>
    <row r="4" spans="2:12" ht="51.75" customHeight="1">
      <c r="B4" s="468"/>
      <c r="C4" s="470"/>
      <c r="D4" s="471"/>
      <c r="E4" s="343" t="s">
        <v>285</v>
      </c>
      <c r="F4" s="268" t="s">
        <v>286</v>
      </c>
      <c r="G4" s="474"/>
      <c r="H4" s="467"/>
    </row>
    <row r="5" spans="2:12">
      <c r="B5" s="80" t="s">
        <v>220</v>
      </c>
      <c r="C5" s="235">
        <f>'A5-Mach. Equip. &amp; Build. Req.'!F4</f>
        <v>25000</v>
      </c>
      <c r="D5" s="233">
        <v>25</v>
      </c>
      <c r="E5" s="234">
        <v>0.2</v>
      </c>
      <c r="F5" s="235">
        <f t="shared" ref="F5:F16" si="0">E5*C5</f>
        <v>5000</v>
      </c>
      <c r="G5" s="255">
        <f t="shared" ref="G5:G16" si="1">(C5-F5)/D5</f>
        <v>800</v>
      </c>
      <c r="H5" s="92"/>
    </row>
    <row r="6" spans="2:12">
      <c r="B6" s="80" t="s">
        <v>219</v>
      </c>
      <c r="C6" s="235">
        <f>'A5-Mach. Equip. &amp; Build. Req.'!F5</f>
        <v>4500</v>
      </c>
      <c r="D6" s="233">
        <v>25</v>
      </c>
      <c r="E6" s="234">
        <v>0.2</v>
      </c>
      <c r="F6" s="235">
        <f t="shared" si="0"/>
        <v>900</v>
      </c>
      <c r="G6" s="255">
        <f t="shared" si="1"/>
        <v>144</v>
      </c>
      <c r="H6" s="92"/>
    </row>
    <row r="7" spans="2:12">
      <c r="B7" s="80" t="s">
        <v>224</v>
      </c>
      <c r="C7" s="235">
        <f>'A5-Mach. Equip. &amp; Build. Req.'!F6</f>
        <v>4000</v>
      </c>
      <c r="D7" s="233">
        <v>25</v>
      </c>
      <c r="E7" s="234">
        <v>0.2</v>
      </c>
      <c r="F7" s="235">
        <f t="shared" si="0"/>
        <v>800</v>
      </c>
      <c r="G7" s="255">
        <f t="shared" si="1"/>
        <v>128</v>
      </c>
      <c r="H7" s="92"/>
    </row>
    <row r="8" spans="2:12">
      <c r="B8" s="80" t="s">
        <v>225</v>
      </c>
      <c r="C8" s="235">
        <f>'A5-Mach. Equip. &amp; Build. Req.'!F7</f>
        <v>3500</v>
      </c>
      <c r="D8" s="233">
        <v>25</v>
      </c>
      <c r="E8" s="234">
        <v>0.2</v>
      </c>
      <c r="F8" s="235">
        <f t="shared" si="0"/>
        <v>700</v>
      </c>
      <c r="G8" s="255">
        <f t="shared" si="1"/>
        <v>112</v>
      </c>
      <c r="H8" s="92"/>
    </row>
    <row r="9" spans="2:12">
      <c r="B9" s="80" t="s">
        <v>227</v>
      </c>
      <c r="C9" s="235">
        <f>'A5-Mach. Equip. &amp; Build. Req.'!F8</f>
        <v>22000</v>
      </c>
      <c r="D9" s="233">
        <v>25</v>
      </c>
      <c r="E9" s="234">
        <v>0.2</v>
      </c>
      <c r="F9" s="235">
        <f t="shared" si="0"/>
        <v>4400</v>
      </c>
      <c r="G9" s="255">
        <f t="shared" si="1"/>
        <v>704</v>
      </c>
      <c r="H9" s="92"/>
    </row>
    <row r="10" spans="2:12">
      <c r="B10" s="80" t="s">
        <v>229</v>
      </c>
      <c r="C10" s="235">
        <f>'A5-Mach. Equip. &amp; Build. Req.'!F9</f>
        <v>30000</v>
      </c>
      <c r="D10" s="233">
        <v>25</v>
      </c>
      <c r="E10" s="234">
        <v>0.2</v>
      </c>
      <c r="F10" s="235">
        <f t="shared" si="0"/>
        <v>6000</v>
      </c>
      <c r="G10" s="255">
        <f t="shared" si="1"/>
        <v>960</v>
      </c>
      <c r="H10" s="92"/>
    </row>
    <row r="11" spans="2:12">
      <c r="B11" s="80" t="s">
        <v>231</v>
      </c>
      <c r="C11" s="235">
        <f>'A5-Mach. Equip. &amp; Build. Req.'!F10</f>
        <v>6000</v>
      </c>
      <c r="D11" s="233">
        <v>25</v>
      </c>
      <c r="E11" s="234">
        <v>0.2</v>
      </c>
      <c r="F11" s="235">
        <f t="shared" si="0"/>
        <v>1200</v>
      </c>
      <c r="G11" s="255">
        <f t="shared" si="1"/>
        <v>192</v>
      </c>
      <c r="H11" s="92"/>
    </row>
    <row r="12" spans="2:12">
      <c r="B12" s="80" t="s">
        <v>233</v>
      </c>
      <c r="C12" s="235">
        <f>'A5-Mach. Equip. &amp; Build. Req.'!F11</f>
        <v>240</v>
      </c>
      <c r="D12" s="233">
        <v>25</v>
      </c>
      <c r="E12" s="234">
        <v>0</v>
      </c>
      <c r="F12" s="235">
        <f t="shared" si="0"/>
        <v>0</v>
      </c>
      <c r="G12" s="255">
        <f t="shared" si="1"/>
        <v>9.6</v>
      </c>
      <c r="H12" s="92"/>
    </row>
    <row r="13" spans="2:12">
      <c r="B13" s="80" t="s">
        <v>235</v>
      </c>
      <c r="C13" s="235">
        <f>'A5-Mach. Equip. &amp; Build. Req.'!F12</f>
        <v>6600</v>
      </c>
      <c r="D13" s="233">
        <v>25</v>
      </c>
      <c r="E13" s="234">
        <v>0</v>
      </c>
      <c r="F13" s="235">
        <f t="shared" si="0"/>
        <v>0</v>
      </c>
      <c r="G13" s="255">
        <f t="shared" si="1"/>
        <v>264</v>
      </c>
      <c r="H13" s="92"/>
    </row>
    <row r="14" spans="2:12">
      <c r="B14" s="147" t="s">
        <v>281</v>
      </c>
      <c r="C14" s="235">
        <f>'A5-Mach. Equip. &amp; Build. Req.'!F13</f>
        <v>16100</v>
      </c>
      <c r="D14" s="233">
        <v>25</v>
      </c>
      <c r="E14" s="234">
        <v>0</v>
      </c>
      <c r="F14" s="235">
        <f t="shared" si="0"/>
        <v>0</v>
      </c>
      <c r="G14" s="255">
        <f t="shared" si="1"/>
        <v>644</v>
      </c>
      <c r="H14" s="92"/>
    </row>
    <row r="15" spans="2:12" ht="18">
      <c r="B15" s="147" t="s">
        <v>282</v>
      </c>
      <c r="C15" s="235">
        <f>'A5-Mach. Equip. &amp; Build. Req.'!F14</f>
        <v>6000</v>
      </c>
      <c r="D15" s="233">
        <v>25</v>
      </c>
      <c r="E15" s="234">
        <v>0</v>
      </c>
      <c r="F15" s="235">
        <f t="shared" si="0"/>
        <v>0</v>
      </c>
      <c r="G15" s="255">
        <f t="shared" si="1"/>
        <v>240</v>
      </c>
      <c r="H15" s="92"/>
    </row>
    <row r="16" spans="2:12" ht="18">
      <c r="B16" s="147" t="s">
        <v>283</v>
      </c>
      <c r="C16" s="235">
        <f>'A5-Mach. Equip. &amp; Build. Req.'!F15</f>
        <v>30000</v>
      </c>
      <c r="D16" s="233">
        <v>25</v>
      </c>
      <c r="E16" s="234">
        <v>0</v>
      </c>
      <c r="F16" s="235">
        <f t="shared" si="0"/>
        <v>0</v>
      </c>
      <c r="G16" s="255">
        <f t="shared" si="1"/>
        <v>1200</v>
      </c>
      <c r="H16" s="92"/>
    </row>
    <row r="17" spans="2:9">
      <c r="B17" s="248" t="s">
        <v>73</v>
      </c>
      <c r="C17" s="236">
        <f>SUM(C5:C16)</f>
        <v>153940</v>
      </c>
      <c r="D17" s="237"/>
      <c r="E17" s="238"/>
      <c r="F17" s="239">
        <f>SUM(F5:F16)</f>
        <v>19000</v>
      </c>
      <c r="G17" s="240">
        <f>SUM(G5:G16)</f>
        <v>5397.6</v>
      </c>
      <c r="H17" s="249">
        <f>G17/'A13-Data for tables'!$C$48</f>
        <v>539.76</v>
      </c>
    </row>
    <row r="18" spans="2:9">
      <c r="B18" s="60" t="s">
        <v>130</v>
      </c>
      <c r="C18" s="223"/>
      <c r="D18" s="223"/>
      <c r="E18" s="224"/>
      <c r="F18" s="224"/>
      <c r="G18" s="60"/>
      <c r="H18" s="93"/>
    </row>
    <row r="19" spans="2:9" ht="15" customHeight="1">
      <c r="B19" s="60" t="s">
        <v>288</v>
      </c>
      <c r="C19" s="223"/>
      <c r="D19" s="223"/>
      <c r="E19" s="224"/>
      <c r="F19" s="224"/>
      <c r="G19" s="60"/>
      <c r="H19" s="93"/>
    </row>
    <row r="20" spans="2:9" ht="15" customHeight="1">
      <c r="B20" s="60" t="s">
        <v>289</v>
      </c>
      <c r="C20" s="223"/>
      <c r="D20" s="223"/>
      <c r="E20" s="224"/>
      <c r="F20" s="224"/>
      <c r="G20" s="60"/>
      <c r="H20" s="93"/>
    </row>
    <row r="21" spans="2:9" ht="15" customHeight="1">
      <c r="B21" s="60" t="s">
        <v>290</v>
      </c>
      <c r="C21" s="223"/>
      <c r="D21" s="223"/>
      <c r="E21" s="224"/>
      <c r="F21" s="224"/>
      <c r="G21" s="60"/>
      <c r="H21" s="93"/>
    </row>
    <row r="22" spans="2:9" ht="15" customHeight="1">
      <c r="B22" s="93" t="s">
        <v>291</v>
      </c>
      <c r="C22" s="223"/>
      <c r="D22" s="223"/>
      <c r="E22" s="224"/>
      <c r="F22" s="224"/>
      <c r="G22" s="60"/>
      <c r="H22" s="93"/>
    </row>
    <row r="23" spans="2:9" ht="29.25" customHeight="1">
      <c r="B23" s="451" t="s">
        <v>292</v>
      </c>
      <c r="C23" s="451"/>
      <c r="D23" s="451"/>
      <c r="E23" s="451"/>
      <c r="F23" s="451"/>
      <c r="G23" s="451"/>
      <c r="H23" s="451"/>
    </row>
    <row r="24" spans="2:9" ht="15" customHeight="1">
      <c r="B24" s="60" t="s">
        <v>387</v>
      </c>
      <c r="C24" s="223"/>
      <c r="D24" s="223"/>
      <c r="E24" s="224"/>
      <c r="F24" s="224"/>
      <c r="G24" s="60"/>
      <c r="H24" s="93"/>
    </row>
    <row r="25" spans="2:9">
      <c r="I25" s="88"/>
    </row>
  </sheetData>
  <protectedRanges>
    <protectedRange sqref="D5:E16" name="Range_1"/>
  </protectedRanges>
  <mergeCells count="8">
    <mergeCell ref="B2:H2"/>
    <mergeCell ref="B23:H23"/>
    <mergeCell ref="H3:H4"/>
    <mergeCell ref="B3:B4"/>
    <mergeCell ref="C3:C4"/>
    <mergeCell ref="D3:D4"/>
    <mergeCell ref="E3:F3"/>
    <mergeCell ref="G3:G4"/>
  </mergeCells>
  <pageMargins left="0.7" right="0.7" top="0.75" bottom="0.75" header="0.3" footer="0.3"/>
  <pageSetup orientation="portrait" verticalDpi="2" r:id="rId1"/>
  <ignoredErrors>
    <ignoredError sqref="C8:C16 F8:F16 F5:F7 C5:C7 C17 F17" unlocked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B2:D8"/>
  <sheetViews>
    <sheetView workbookViewId="0">
      <selection activeCell="C4" sqref="C4"/>
    </sheetView>
  </sheetViews>
  <sheetFormatPr defaultColWidth="9.140625" defaultRowHeight="15"/>
  <cols>
    <col min="1" max="1" width="6.7109375" style="4" customWidth="1"/>
    <col min="2" max="2" width="30.42578125" style="4" bestFit="1" customWidth="1"/>
    <col min="3" max="3" width="14" style="4" customWidth="1"/>
    <col min="4" max="16384" width="9.140625" style="4"/>
  </cols>
  <sheetData>
    <row r="2" spans="2:4" ht="36" customHeight="1">
      <c r="B2" s="475" t="s">
        <v>344</v>
      </c>
      <c r="C2" s="475"/>
    </row>
    <row r="3" spans="2:4">
      <c r="B3" s="4" t="s">
        <v>43</v>
      </c>
      <c r="C3" s="138">
        <f>'A2-Cider Apple Budget'!$F$59</f>
        <v>28115.144482644049</v>
      </c>
    </row>
    <row r="4" spans="2:4" ht="18">
      <c r="B4" s="32" t="s">
        <v>167</v>
      </c>
      <c r="C4" s="156">
        <f>25-4</f>
        <v>21</v>
      </c>
      <c r="D4" s="34"/>
    </row>
    <row r="5" spans="2:4">
      <c r="B5" s="4" t="s">
        <v>36</v>
      </c>
      <c r="C5" s="156">
        <f>'A13-Data for tables'!$G$44</f>
        <v>0.05</v>
      </c>
    </row>
    <row r="6" spans="2:4">
      <c r="C6" s="35"/>
    </row>
    <row r="7" spans="2:4">
      <c r="B7" s="28" t="s">
        <v>44</v>
      </c>
      <c r="C7" s="139">
        <f>-IF(C4=0," ",PMT(C5,C4,C3))</f>
        <v>2192.8718208696764</v>
      </c>
    </row>
    <row r="8" spans="2:4">
      <c r="B8" s="33" t="s">
        <v>168</v>
      </c>
    </row>
  </sheetData>
  <protectedRanges>
    <protectedRange sqref="C4:C5" name="Range1"/>
  </protectedRanges>
  <mergeCells count="1">
    <mergeCell ref="B2:C2"/>
  </mergeCells>
  <phoneticPr fontId="21" type="noConversion"/>
  <pageMargins left="0.7" right="0.7" top="0.75" bottom="0.75" header="0.3" footer="0.3"/>
  <pageSetup orientation="portrait" verticalDpi="2" r:id="rId1"/>
  <ignoredErrors>
    <ignoredError sqref="C4:C5" unlockedFormula="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dimension ref="A1:H50"/>
  <sheetViews>
    <sheetView zoomScaleNormal="100" workbookViewId="0">
      <selection activeCell="A2" sqref="A2"/>
    </sheetView>
  </sheetViews>
  <sheetFormatPr defaultColWidth="8.85546875" defaultRowHeight="15"/>
  <cols>
    <col min="1" max="1" width="22.85546875" style="181" customWidth="1"/>
    <col min="2" max="2" width="50.7109375" style="181" customWidth="1"/>
    <col min="3" max="3" width="11.7109375" style="204" customWidth="1"/>
    <col min="4" max="4" width="8.7109375" style="204" customWidth="1"/>
    <col min="5" max="5" width="10" style="204" customWidth="1"/>
    <col min="6" max="6" width="10.28515625" style="204" customWidth="1"/>
    <col min="7" max="7" width="27.42578125" style="204" customWidth="1"/>
    <col min="8" max="8" width="69.7109375" style="181" customWidth="1"/>
    <col min="9" max="16384" width="8.85546875" style="181"/>
  </cols>
  <sheetData>
    <row r="1" spans="1:8" ht="18.75">
      <c r="A1" s="269" t="s">
        <v>388</v>
      </c>
      <c r="B1" s="269"/>
      <c r="C1" s="200"/>
      <c r="D1" s="200"/>
      <c r="E1" s="200"/>
      <c r="F1" s="200"/>
      <c r="G1" s="200"/>
      <c r="H1" s="222"/>
    </row>
    <row r="2" spans="1:8">
      <c r="A2" s="182"/>
      <c r="B2" s="183" t="s">
        <v>102</v>
      </c>
      <c r="C2" s="201" t="s">
        <v>26</v>
      </c>
      <c r="D2" s="201" t="s">
        <v>2</v>
      </c>
      <c r="E2" s="201" t="s">
        <v>3</v>
      </c>
      <c r="F2" s="201" t="s">
        <v>4</v>
      </c>
      <c r="G2" s="206" t="s">
        <v>199</v>
      </c>
      <c r="H2" s="169" t="s">
        <v>124</v>
      </c>
    </row>
    <row r="3" spans="1:8" ht="33.75" customHeight="1">
      <c r="A3" s="267" t="s">
        <v>139</v>
      </c>
      <c r="B3" s="169" t="s">
        <v>118</v>
      </c>
      <c r="C3" s="192">
        <f>((0.25+0.5)/2)*900</f>
        <v>337.5</v>
      </c>
      <c r="D3" s="192">
        <f>C3</f>
        <v>337.5</v>
      </c>
      <c r="E3" s="192">
        <f t="shared" ref="E3:G3" si="0">D3</f>
        <v>337.5</v>
      </c>
      <c r="F3" s="192">
        <f t="shared" si="0"/>
        <v>337.5</v>
      </c>
      <c r="G3" s="192">
        <f t="shared" si="0"/>
        <v>337.5</v>
      </c>
      <c r="H3" s="180" t="s">
        <v>331</v>
      </c>
    </row>
    <row r="4" spans="1:8" ht="30">
      <c r="A4" s="184" t="s">
        <v>140</v>
      </c>
      <c r="B4" s="185" t="s">
        <v>119</v>
      </c>
      <c r="C4" s="202">
        <v>0</v>
      </c>
      <c r="D4" s="202">
        <v>0</v>
      </c>
      <c r="E4" s="202">
        <v>5</v>
      </c>
      <c r="F4" s="202">
        <v>12</v>
      </c>
      <c r="G4" s="202">
        <v>46</v>
      </c>
      <c r="H4" s="179" t="s">
        <v>189</v>
      </c>
    </row>
    <row r="5" spans="1:8">
      <c r="A5" s="210" t="s">
        <v>15</v>
      </c>
      <c r="B5" s="211" t="s">
        <v>91</v>
      </c>
      <c r="C5" s="212">
        <v>13969.896519285041</v>
      </c>
      <c r="D5" s="213"/>
      <c r="E5" s="213"/>
      <c r="F5" s="213"/>
      <c r="G5" s="213"/>
      <c r="H5" s="211"/>
    </row>
    <row r="6" spans="1:8">
      <c r="A6" s="186" t="s">
        <v>77</v>
      </c>
      <c r="B6" s="169" t="s">
        <v>133</v>
      </c>
      <c r="C6" s="192">
        <v>155.22107243650046</v>
      </c>
      <c r="D6" s="203"/>
      <c r="F6" s="203"/>
      <c r="G6" s="192"/>
      <c r="H6" s="254"/>
    </row>
    <row r="7" spans="1:8">
      <c r="A7" s="186" t="s">
        <v>77</v>
      </c>
      <c r="B7" s="169" t="s">
        <v>200</v>
      </c>
      <c r="C7" s="192">
        <v>258.70178739416741</v>
      </c>
      <c r="D7" s="203"/>
      <c r="F7" s="203"/>
      <c r="G7" s="192"/>
      <c r="H7" s="254"/>
    </row>
    <row r="8" spans="1:8" ht="15" customHeight="1">
      <c r="A8" s="288" t="s">
        <v>77</v>
      </c>
      <c r="B8" s="289" t="s">
        <v>201</v>
      </c>
      <c r="C8" s="290">
        <v>103.48071495766698</v>
      </c>
      <c r="D8" s="291"/>
      <c r="E8" s="292"/>
      <c r="F8" s="291"/>
      <c r="G8" s="291"/>
      <c r="H8" s="293"/>
    </row>
    <row r="9" spans="1:8">
      <c r="A9" s="186" t="s">
        <v>78</v>
      </c>
      <c r="B9" s="169" t="s">
        <v>89</v>
      </c>
      <c r="C9" s="214">
        <v>726</v>
      </c>
      <c r="D9" s="203"/>
      <c r="E9" s="203"/>
      <c r="F9" s="203"/>
      <c r="G9" s="203"/>
      <c r="H9" s="169"/>
    </row>
    <row r="10" spans="1:8">
      <c r="A10" s="186" t="s">
        <v>78</v>
      </c>
      <c r="B10" s="169" t="s">
        <v>98</v>
      </c>
      <c r="C10" s="192">
        <v>6.467544684854186</v>
      </c>
      <c r="D10" s="203"/>
      <c r="E10" s="203"/>
      <c r="F10" s="203"/>
      <c r="G10" s="203"/>
      <c r="H10" s="169"/>
    </row>
    <row r="11" spans="1:8">
      <c r="A11" s="288" t="s">
        <v>78</v>
      </c>
      <c r="B11" s="289" t="s">
        <v>202</v>
      </c>
      <c r="C11" s="290">
        <v>751.26999059266223</v>
      </c>
      <c r="D11" s="291"/>
      <c r="E11" s="291"/>
      <c r="F11" s="291"/>
      <c r="G11" s="291"/>
      <c r="H11" s="289"/>
    </row>
    <row r="12" spans="1:8">
      <c r="A12" s="186" t="s">
        <v>10</v>
      </c>
      <c r="B12" s="254" t="s">
        <v>107</v>
      </c>
      <c r="C12" s="192">
        <f>SUM(C13:C19)</f>
        <v>2341.6340545625585</v>
      </c>
      <c r="D12" s="192"/>
      <c r="E12" s="192"/>
      <c r="F12" s="192"/>
      <c r="G12" s="192"/>
      <c r="H12" s="168" t="s">
        <v>183</v>
      </c>
    </row>
    <row r="13" spans="1:8">
      <c r="A13" s="186" t="s">
        <v>10</v>
      </c>
      <c r="B13" s="215" t="s">
        <v>28</v>
      </c>
      <c r="C13" s="192">
        <v>478.08090310442145</v>
      </c>
      <c r="D13" s="192"/>
      <c r="E13" s="192"/>
      <c r="F13" s="192"/>
      <c r="G13" s="192"/>
      <c r="H13" s="155"/>
    </row>
    <row r="14" spans="1:8">
      <c r="A14" s="186" t="s">
        <v>10</v>
      </c>
      <c r="B14" s="215" t="s">
        <v>203</v>
      </c>
      <c r="C14" s="192">
        <v>182.44684854186264</v>
      </c>
      <c r="D14" s="192"/>
      <c r="E14" s="192"/>
      <c r="F14" s="192"/>
      <c r="G14" s="192"/>
      <c r="H14" s="155"/>
    </row>
    <row r="15" spans="1:8">
      <c r="A15" s="186" t="s">
        <v>10</v>
      </c>
      <c r="B15" s="215" t="s">
        <v>204</v>
      </c>
      <c r="C15" s="192">
        <v>16.101599247412981</v>
      </c>
      <c r="D15" s="192"/>
      <c r="E15" s="192"/>
      <c r="F15" s="192"/>
      <c r="G15" s="192"/>
      <c r="H15" s="155"/>
    </row>
    <row r="16" spans="1:8">
      <c r="A16" s="186" t="s">
        <v>10</v>
      </c>
      <c r="B16" s="215" t="s">
        <v>205</v>
      </c>
      <c r="C16" s="192">
        <v>569.14393226716834</v>
      </c>
      <c r="D16" s="192"/>
      <c r="E16" s="192"/>
      <c r="F16" s="192"/>
      <c r="G16" s="192"/>
      <c r="H16" s="155"/>
    </row>
    <row r="17" spans="1:8">
      <c r="A17" s="186" t="s">
        <v>10</v>
      </c>
      <c r="B17" s="215" t="s">
        <v>206</v>
      </c>
      <c r="C17" s="192">
        <v>186.26528692380055</v>
      </c>
      <c r="D17" s="192"/>
      <c r="E17" s="192"/>
      <c r="F17" s="192"/>
      <c r="G17" s="192"/>
      <c r="H17" s="155"/>
    </row>
    <row r="18" spans="1:8">
      <c r="A18" s="186" t="s">
        <v>10</v>
      </c>
      <c r="B18" s="215" t="s">
        <v>207</v>
      </c>
      <c r="C18" s="192">
        <v>242.14487300094072</v>
      </c>
      <c r="D18" s="192"/>
      <c r="E18" s="192"/>
      <c r="F18" s="192"/>
      <c r="G18" s="192"/>
      <c r="H18" s="155"/>
    </row>
    <row r="19" spans="1:8">
      <c r="A19" s="184" t="s">
        <v>10</v>
      </c>
      <c r="B19" s="215" t="s">
        <v>56</v>
      </c>
      <c r="C19" s="192">
        <v>667.45061147695196</v>
      </c>
      <c r="D19" s="192"/>
      <c r="E19" s="192"/>
      <c r="F19" s="192"/>
      <c r="G19" s="192"/>
      <c r="H19" s="216"/>
    </row>
    <row r="20" spans="1:8">
      <c r="A20" s="187" t="s">
        <v>92</v>
      </c>
      <c r="B20" s="189" t="s">
        <v>209</v>
      </c>
      <c r="C20" s="197">
        <v>776.10536218250229</v>
      </c>
      <c r="D20" s="197"/>
      <c r="E20" s="197"/>
      <c r="F20" s="197"/>
      <c r="G20" s="197"/>
      <c r="H20" s="190"/>
    </row>
    <row r="21" spans="1:8">
      <c r="A21" s="186" t="s">
        <v>92</v>
      </c>
      <c r="B21" s="312" t="s">
        <v>108</v>
      </c>
      <c r="C21" s="192">
        <v>103.48071495766698</v>
      </c>
      <c r="D21" s="192"/>
      <c r="E21" s="192"/>
      <c r="F21" s="192"/>
      <c r="G21" s="192"/>
      <c r="H21" s="190"/>
    </row>
    <row r="22" spans="1:8">
      <c r="A22" s="186" t="s">
        <v>92</v>
      </c>
      <c r="B22" s="311" t="s">
        <v>116</v>
      </c>
      <c r="C22" s="192">
        <v>155.22107243650046</v>
      </c>
      <c r="D22" s="192"/>
      <c r="E22" s="192"/>
      <c r="F22" s="192"/>
      <c r="G22" s="192"/>
      <c r="H22" s="168"/>
    </row>
    <row r="23" spans="1:8">
      <c r="A23" s="184" t="s">
        <v>92</v>
      </c>
      <c r="B23" s="191" t="s">
        <v>208</v>
      </c>
      <c r="C23" s="198">
        <v>1552.2107243650046</v>
      </c>
      <c r="D23" s="198"/>
      <c r="E23" s="198"/>
      <c r="F23" s="198"/>
      <c r="G23" s="198"/>
      <c r="H23" s="216"/>
    </row>
    <row r="24" spans="1:8">
      <c r="A24" s="294" t="s">
        <v>95</v>
      </c>
      <c r="B24" s="295" t="s">
        <v>210</v>
      </c>
      <c r="C24" s="297">
        <v>298.02445907808089</v>
      </c>
      <c r="D24" s="297">
        <v>745.06114769520218</v>
      </c>
      <c r="E24" s="297">
        <v>1117.5917215428033</v>
      </c>
      <c r="F24" s="297">
        <v>1490.1222953904044</v>
      </c>
      <c r="G24" s="297">
        <v>1303.8570084666039</v>
      </c>
      <c r="H24" s="296"/>
    </row>
    <row r="25" spans="1:8">
      <c r="A25" s="186" t="s">
        <v>96</v>
      </c>
      <c r="B25" s="169" t="s">
        <v>211</v>
      </c>
      <c r="C25" s="192">
        <v>0</v>
      </c>
      <c r="D25" s="408">
        <v>149.01222953904045</v>
      </c>
      <c r="E25" s="408">
        <v>298.02445907808089</v>
      </c>
      <c r="F25" s="408">
        <v>596.04891815616179</v>
      </c>
      <c r="G25" s="408">
        <v>596.04891815616179</v>
      </c>
      <c r="H25" s="409"/>
    </row>
    <row r="26" spans="1:8">
      <c r="A26" s="294" t="s">
        <v>80</v>
      </c>
      <c r="B26" s="296" t="s">
        <v>212</v>
      </c>
      <c r="C26" s="297">
        <v>362.18250235183439</v>
      </c>
      <c r="D26" s="290">
        <v>362.18250235183439</v>
      </c>
      <c r="E26" s="290">
        <v>362.18250235183439</v>
      </c>
      <c r="F26" s="290">
        <v>362.18250235183439</v>
      </c>
      <c r="G26" s="290">
        <v>362.18250235183439</v>
      </c>
      <c r="H26" s="298"/>
    </row>
    <row r="27" spans="1:8">
      <c r="A27" s="294" t="s">
        <v>213</v>
      </c>
      <c r="B27" s="296" t="s">
        <v>217</v>
      </c>
      <c r="C27" s="297">
        <v>124.17685794920037</v>
      </c>
      <c r="D27" s="297">
        <v>124.17685794920037</v>
      </c>
      <c r="E27" s="297">
        <v>124.17685794920037</v>
      </c>
      <c r="F27" s="297">
        <v>124.17685794920037</v>
      </c>
      <c r="G27" s="297">
        <v>124.17685794920037</v>
      </c>
      <c r="H27" s="300"/>
    </row>
    <row r="28" spans="1:8">
      <c r="A28" s="184" t="s">
        <v>94</v>
      </c>
      <c r="B28" s="299" t="s">
        <v>214</v>
      </c>
      <c r="C28" s="290">
        <v>0</v>
      </c>
      <c r="D28" s="290">
        <v>62.088428974600184</v>
      </c>
      <c r="E28" s="290">
        <v>62.088428974600184</v>
      </c>
      <c r="F28" s="290">
        <v>62.088428974600184</v>
      </c>
      <c r="G28" s="290">
        <v>256.63217309501408</v>
      </c>
      <c r="H28" s="289"/>
    </row>
    <row r="29" spans="1:8">
      <c r="A29" s="186" t="s">
        <v>93</v>
      </c>
      <c r="B29" s="169" t="s">
        <v>134</v>
      </c>
      <c r="C29" s="192">
        <v>0</v>
      </c>
      <c r="D29" s="192">
        <v>0</v>
      </c>
      <c r="E29" s="192">
        <v>0</v>
      </c>
      <c r="F29" s="192">
        <v>0</v>
      </c>
      <c r="G29" s="192">
        <v>0</v>
      </c>
      <c r="H29" s="168"/>
    </row>
    <row r="30" spans="1:8">
      <c r="A30" s="186" t="s">
        <v>93</v>
      </c>
      <c r="B30" s="181" t="s">
        <v>81</v>
      </c>
      <c r="C30" s="193">
        <v>149.01222953904045</v>
      </c>
      <c r="D30" s="193">
        <v>149.01222953904045</v>
      </c>
      <c r="E30" s="193">
        <v>149.01222953904045</v>
      </c>
      <c r="F30" s="193">
        <v>149.01222953904045</v>
      </c>
      <c r="G30" s="193">
        <v>149.01222953904045</v>
      </c>
      <c r="H30" s="193"/>
    </row>
    <row r="31" spans="1:8">
      <c r="A31" s="288" t="s">
        <v>99</v>
      </c>
      <c r="B31" s="289" t="s">
        <v>215</v>
      </c>
      <c r="C31" s="290">
        <v>496.70743179680147</v>
      </c>
      <c r="D31" s="290">
        <v>496.70743179680147</v>
      </c>
      <c r="E31" s="290">
        <v>496.70743179680147</v>
      </c>
      <c r="F31" s="290">
        <v>496.70743179680147</v>
      </c>
      <c r="G31" s="290">
        <v>496.70743179680147</v>
      </c>
      <c r="H31" s="289"/>
    </row>
    <row r="32" spans="1:8">
      <c r="A32" s="186" t="s">
        <v>100</v>
      </c>
      <c r="B32" s="169" t="s">
        <v>82</v>
      </c>
      <c r="C32" s="192"/>
      <c r="D32" s="192"/>
      <c r="E32" s="192">
        <v>51.740357478833488</v>
      </c>
      <c r="F32" s="192">
        <v>51.740357478833488</v>
      </c>
      <c r="G32" s="192">
        <v>51.740357478833488</v>
      </c>
      <c r="H32" s="168"/>
    </row>
    <row r="33" spans="1:8">
      <c r="A33" s="184" t="s">
        <v>100</v>
      </c>
      <c r="B33" s="185" t="s">
        <v>83</v>
      </c>
      <c r="C33" s="202"/>
      <c r="D33" s="202"/>
      <c r="E33" s="202">
        <v>1</v>
      </c>
      <c r="F33" s="202">
        <v>1</v>
      </c>
      <c r="G33" s="202">
        <v>1</v>
      </c>
      <c r="H33" s="208"/>
    </row>
    <row r="34" spans="1:8" ht="15" customHeight="1">
      <c r="A34" s="154" t="s">
        <v>79</v>
      </c>
      <c r="B34" s="144" t="s">
        <v>125</v>
      </c>
      <c r="C34" s="165">
        <v>51.740357478833488</v>
      </c>
      <c r="D34" s="165">
        <v>51.740357478833488</v>
      </c>
      <c r="E34" s="165">
        <v>51.740357478833488</v>
      </c>
      <c r="F34" s="165">
        <v>51.740357478833488</v>
      </c>
      <c r="G34" s="165">
        <v>51.740357478833488</v>
      </c>
      <c r="H34" s="220"/>
    </row>
    <row r="35" spans="1:8" ht="15" customHeight="1">
      <c r="A35" s="154" t="s">
        <v>79</v>
      </c>
      <c r="B35" s="145" t="s">
        <v>126</v>
      </c>
      <c r="C35" s="165">
        <v>51.740357478833488</v>
      </c>
      <c r="D35" s="165">
        <v>77.610536218250232</v>
      </c>
      <c r="E35" s="165">
        <v>103.48071495766698</v>
      </c>
      <c r="F35" s="165">
        <v>124.17685794920037</v>
      </c>
      <c r="G35" s="165">
        <v>144.87300094073376</v>
      </c>
      <c r="H35" s="194"/>
    </row>
    <row r="36" spans="1:8" ht="15" customHeight="1">
      <c r="A36" s="217" t="s">
        <v>79</v>
      </c>
      <c r="B36" s="218" t="s">
        <v>216</v>
      </c>
      <c r="C36" s="219">
        <v>72.43650047036688</v>
      </c>
      <c r="D36" s="219">
        <v>72.43650047036688</v>
      </c>
      <c r="E36" s="219">
        <v>113.82878645343368</v>
      </c>
      <c r="F36" s="219">
        <v>134.52492944496706</v>
      </c>
      <c r="G36" s="219">
        <v>144.87300094073376</v>
      </c>
      <c r="H36" s="216"/>
    </row>
    <row r="37" spans="1:8">
      <c r="A37" s="294" t="s">
        <v>195</v>
      </c>
      <c r="B37" s="296" t="s">
        <v>197</v>
      </c>
      <c r="C37" s="297"/>
      <c r="D37" s="297"/>
      <c r="E37" s="297">
        <v>83.819379115710248</v>
      </c>
      <c r="F37" s="297">
        <v>83.819379115710248</v>
      </c>
      <c r="G37" s="297">
        <v>83.819379115710248</v>
      </c>
      <c r="H37" s="302" t="s">
        <v>196</v>
      </c>
    </row>
    <row r="38" spans="1:8" ht="30">
      <c r="A38" s="186" t="s">
        <v>128</v>
      </c>
      <c r="B38" s="195" t="s">
        <v>101</v>
      </c>
      <c r="C38" s="193">
        <v>186.26528692380055</v>
      </c>
      <c r="D38" s="193">
        <v>186.26528692380055</v>
      </c>
      <c r="E38" s="193">
        <v>186.26528692380055</v>
      </c>
      <c r="F38" s="193">
        <v>186.26528692380055</v>
      </c>
      <c r="G38" s="193">
        <v>186.26528692380055</v>
      </c>
      <c r="H38" s="221" t="s">
        <v>127</v>
      </c>
    </row>
    <row r="39" spans="1:8">
      <c r="A39" s="186" t="s">
        <v>128</v>
      </c>
      <c r="B39" s="195" t="s">
        <v>114</v>
      </c>
      <c r="C39" s="193">
        <v>206.96142991533395</v>
      </c>
      <c r="D39" s="193">
        <v>206.96142991533395</v>
      </c>
      <c r="E39" s="193">
        <v>206.96142991533395</v>
      </c>
      <c r="F39" s="193">
        <v>206.96142991533395</v>
      </c>
      <c r="G39" s="193">
        <v>206.96142991533395</v>
      </c>
      <c r="H39" s="194"/>
    </row>
    <row r="40" spans="1:8">
      <c r="A40" s="186" t="s">
        <v>128</v>
      </c>
      <c r="B40" s="181" t="s">
        <v>61</v>
      </c>
      <c r="C40" s="193">
        <v>139.69896519285041</v>
      </c>
      <c r="D40" s="193">
        <v>139.69896519285041</v>
      </c>
      <c r="E40" s="193">
        <v>139.69896519285041</v>
      </c>
      <c r="F40" s="193">
        <v>139.69896519285041</v>
      </c>
      <c r="G40" s="193">
        <v>139.69896519285041</v>
      </c>
      <c r="H40" s="194"/>
    </row>
    <row r="41" spans="1:8">
      <c r="A41" s="186" t="s">
        <v>128</v>
      </c>
      <c r="B41" s="195" t="s">
        <v>65</v>
      </c>
      <c r="C41" s="193">
        <v>51.740357478833488</v>
      </c>
      <c r="D41" s="193">
        <v>51.740357478833488</v>
      </c>
      <c r="E41" s="193">
        <v>51.740357478833488</v>
      </c>
      <c r="F41" s="193">
        <v>51.740357478833488</v>
      </c>
      <c r="G41" s="193">
        <v>51.740357478833488</v>
      </c>
      <c r="H41" s="194"/>
    </row>
    <row r="42" spans="1:8">
      <c r="A42" s="186" t="s">
        <v>128</v>
      </c>
      <c r="B42" s="188" t="s">
        <v>166</v>
      </c>
      <c r="C42" s="192">
        <v>310.44214487300093</v>
      </c>
      <c r="D42" s="192">
        <v>310.44214487300093</v>
      </c>
      <c r="E42" s="192">
        <v>310.44214487300093</v>
      </c>
      <c r="F42" s="192">
        <v>310.44214487300093</v>
      </c>
      <c r="G42" s="192">
        <v>310.44214487300093</v>
      </c>
      <c r="H42" s="196"/>
    </row>
    <row r="43" spans="1:8">
      <c r="A43" s="186" t="s">
        <v>128</v>
      </c>
      <c r="B43" s="169" t="s">
        <v>106</v>
      </c>
      <c r="C43" s="205">
        <v>0.05</v>
      </c>
      <c r="D43" s="205">
        <v>0.05</v>
      </c>
      <c r="E43" s="205">
        <v>0.05</v>
      </c>
      <c r="F43" s="205">
        <v>0.05</v>
      </c>
      <c r="G43" s="205">
        <v>0.05</v>
      </c>
      <c r="H43" s="199"/>
    </row>
    <row r="44" spans="1:8">
      <c r="A44" s="186" t="s">
        <v>128</v>
      </c>
      <c r="B44" s="169" t="s">
        <v>84</v>
      </c>
      <c r="C44" s="205">
        <v>0.05</v>
      </c>
      <c r="D44" s="205">
        <v>0.05</v>
      </c>
      <c r="E44" s="205">
        <v>0.05</v>
      </c>
      <c r="F44" s="205">
        <v>0.05</v>
      </c>
      <c r="G44" s="205">
        <v>0.05</v>
      </c>
      <c r="H44" s="199"/>
    </row>
    <row r="45" spans="1:8">
      <c r="A45" s="186" t="s">
        <v>128</v>
      </c>
      <c r="B45" s="169" t="s">
        <v>85</v>
      </c>
      <c r="C45" s="205">
        <v>0.05</v>
      </c>
      <c r="D45" s="205">
        <v>0.05</v>
      </c>
      <c r="E45" s="205">
        <v>0.05</v>
      </c>
      <c r="F45" s="205">
        <v>0.05</v>
      </c>
      <c r="G45" s="205">
        <v>0</v>
      </c>
      <c r="H45" s="199"/>
    </row>
    <row r="46" spans="1:8">
      <c r="A46" s="186" t="s">
        <v>128</v>
      </c>
      <c r="B46" s="169" t="s">
        <v>86</v>
      </c>
      <c r="C46" s="203">
        <v>1</v>
      </c>
      <c r="D46" s="203">
        <v>1</v>
      </c>
      <c r="E46" s="203">
        <v>1</v>
      </c>
      <c r="F46" s="203">
        <v>1</v>
      </c>
      <c r="G46" s="203">
        <v>0.75</v>
      </c>
      <c r="H46" s="169"/>
    </row>
    <row r="47" spans="1:8">
      <c r="A47" s="186" t="s">
        <v>128</v>
      </c>
      <c r="B47" s="169" t="s">
        <v>87</v>
      </c>
      <c r="C47" s="203">
        <v>11</v>
      </c>
      <c r="D47" s="203">
        <v>11</v>
      </c>
      <c r="E47" s="203">
        <v>11</v>
      </c>
      <c r="F47" s="203">
        <v>11</v>
      </c>
      <c r="G47" s="203">
        <v>11</v>
      </c>
      <c r="H47" s="169"/>
    </row>
    <row r="48" spans="1:8">
      <c r="A48" s="186" t="s">
        <v>128</v>
      </c>
      <c r="B48" s="169" t="s">
        <v>88</v>
      </c>
      <c r="C48" s="203">
        <v>10</v>
      </c>
      <c r="D48" s="203">
        <v>10</v>
      </c>
      <c r="E48" s="203">
        <v>10</v>
      </c>
      <c r="F48" s="203">
        <v>10</v>
      </c>
      <c r="G48" s="203">
        <v>10</v>
      </c>
      <c r="H48" s="169"/>
    </row>
    <row r="49" spans="1:8">
      <c r="A49" s="186" t="s">
        <v>128</v>
      </c>
      <c r="B49" s="169" t="s">
        <v>113</v>
      </c>
      <c r="C49" s="214">
        <v>726</v>
      </c>
      <c r="D49" s="214">
        <v>726</v>
      </c>
      <c r="E49" s="214">
        <v>726</v>
      </c>
      <c r="F49" s="214">
        <v>726</v>
      </c>
      <c r="G49" s="214">
        <v>726</v>
      </c>
      <c r="H49" s="169"/>
    </row>
    <row r="50" spans="1:8">
      <c r="A50" s="207" t="s">
        <v>128</v>
      </c>
      <c r="B50" s="208" t="s">
        <v>90</v>
      </c>
      <c r="C50" s="209">
        <v>10</v>
      </c>
      <c r="D50" s="209">
        <v>10</v>
      </c>
      <c r="E50" s="209">
        <v>10</v>
      </c>
      <c r="F50" s="209">
        <v>10</v>
      </c>
      <c r="G50" s="209">
        <v>10</v>
      </c>
      <c r="H50" s="208"/>
    </row>
  </sheetData>
  <phoneticPr fontId="39" type="noConversion"/>
  <pageMargins left="0.7" right="0.7" top="0.75" bottom="0.75" header="0.3" footer="0.3"/>
  <pageSetup orientation="portrait" horizontalDpi="1200" verticalDpi="1200"/>
  <ignoredErrors>
    <ignoredError sqref="C12" formulaRange="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B1:Y44"/>
  <sheetViews>
    <sheetView workbookViewId="0">
      <selection activeCell="B2" sqref="B2"/>
    </sheetView>
  </sheetViews>
  <sheetFormatPr defaultColWidth="8.85546875" defaultRowHeight="15"/>
  <cols>
    <col min="1" max="1" width="4.140625" style="92" customWidth="1"/>
    <col min="2" max="2" width="9.140625" style="389" customWidth="1"/>
    <col min="3" max="4" width="14" style="92" customWidth="1"/>
    <col min="5" max="6" width="14.140625" style="388" customWidth="1"/>
    <col min="7" max="7" width="8.85546875" style="92"/>
    <col min="8" max="8" width="9.140625" style="389" customWidth="1"/>
    <col min="9" max="10" width="14" style="92" customWidth="1"/>
    <col min="11" max="12" width="14.140625" style="388" customWidth="1"/>
    <col min="13" max="13" width="21.5703125" style="92" customWidth="1"/>
    <col min="14" max="15" width="8.85546875" style="92"/>
    <col min="16" max="16" width="9.140625" style="389" customWidth="1"/>
    <col min="17" max="18" width="14" style="92" customWidth="1"/>
    <col min="19" max="20" width="14.140625" style="388" customWidth="1"/>
    <col min="21" max="21" width="21.5703125" style="92" customWidth="1"/>
    <col min="22" max="257" width="8.85546875" style="92"/>
    <col min="258" max="258" width="4.140625" style="92" customWidth="1"/>
    <col min="259" max="259" width="7.28515625" style="92" customWidth="1"/>
    <col min="260" max="261" width="14" style="92" customWidth="1"/>
    <col min="262" max="262" width="14.140625" style="92" customWidth="1"/>
    <col min="263" max="513" width="8.85546875" style="92"/>
    <col min="514" max="514" width="4.140625" style="92" customWidth="1"/>
    <col min="515" max="515" width="7.28515625" style="92" customWidth="1"/>
    <col min="516" max="517" width="14" style="92" customWidth="1"/>
    <col min="518" max="518" width="14.140625" style="92" customWidth="1"/>
    <col min="519" max="769" width="8.85546875" style="92"/>
    <col min="770" max="770" width="4.140625" style="92" customWidth="1"/>
    <col min="771" max="771" width="7.28515625" style="92" customWidth="1"/>
    <col min="772" max="773" width="14" style="92" customWidth="1"/>
    <col min="774" max="774" width="14.140625" style="92" customWidth="1"/>
    <col min="775" max="1025" width="8.85546875" style="92"/>
    <col min="1026" max="1026" width="4.140625" style="92" customWidth="1"/>
    <col min="1027" max="1027" width="7.28515625" style="92" customWidth="1"/>
    <col min="1028" max="1029" width="14" style="92" customWidth="1"/>
    <col min="1030" max="1030" width="14.140625" style="92" customWidth="1"/>
    <col min="1031" max="1281" width="8.85546875" style="92"/>
    <col min="1282" max="1282" width="4.140625" style="92" customWidth="1"/>
    <col min="1283" max="1283" width="7.28515625" style="92" customWidth="1"/>
    <col min="1284" max="1285" width="14" style="92" customWidth="1"/>
    <col min="1286" max="1286" width="14.140625" style="92" customWidth="1"/>
    <col min="1287" max="1537" width="8.85546875" style="92"/>
    <col min="1538" max="1538" width="4.140625" style="92" customWidth="1"/>
    <col min="1539" max="1539" width="7.28515625" style="92" customWidth="1"/>
    <col min="1540" max="1541" width="14" style="92" customWidth="1"/>
    <col min="1542" max="1542" width="14.140625" style="92" customWidth="1"/>
    <col min="1543" max="1793" width="8.85546875" style="92"/>
    <col min="1794" max="1794" width="4.140625" style="92" customWidth="1"/>
    <col min="1795" max="1795" width="7.28515625" style="92" customWidth="1"/>
    <col min="1796" max="1797" width="14" style="92" customWidth="1"/>
    <col min="1798" max="1798" width="14.140625" style="92" customWidth="1"/>
    <col min="1799" max="2049" width="8.85546875" style="92"/>
    <col min="2050" max="2050" width="4.140625" style="92" customWidth="1"/>
    <col min="2051" max="2051" width="7.28515625" style="92" customWidth="1"/>
    <col min="2052" max="2053" width="14" style="92" customWidth="1"/>
    <col min="2054" max="2054" width="14.140625" style="92" customWidth="1"/>
    <col min="2055" max="2305" width="8.85546875" style="92"/>
    <col min="2306" max="2306" width="4.140625" style="92" customWidth="1"/>
    <col min="2307" max="2307" width="7.28515625" style="92" customWidth="1"/>
    <col min="2308" max="2309" width="14" style="92" customWidth="1"/>
    <col min="2310" max="2310" width="14.140625" style="92" customWidth="1"/>
    <col min="2311" max="2561" width="8.85546875" style="92"/>
    <col min="2562" max="2562" width="4.140625" style="92" customWidth="1"/>
    <col min="2563" max="2563" width="7.28515625" style="92" customWidth="1"/>
    <col min="2564" max="2565" width="14" style="92" customWidth="1"/>
    <col min="2566" max="2566" width="14.140625" style="92" customWidth="1"/>
    <col min="2567" max="2817" width="8.85546875" style="92"/>
    <col min="2818" max="2818" width="4.140625" style="92" customWidth="1"/>
    <col min="2819" max="2819" width="7.28515625" style="92" customWidth="1"/>
    <col min="2820" max="2821" width="14" style="92" customWidth="1"/>
    <col min="2822" max="2822" width="14.140625" style="92" customWidth="1"/>
    <col min="2823" max="3073" width="8.85546875" style="92"/>
    <col min="3074" max="3074" width="4.140625" style="92" customWidth="1"/>
    <col min="3075" max="3075" width="7.28515625" style="92" customWidth="1"/>
    <col min="3076" max="3077" width="14" style="92" customWidth="1"/>
    <col min="3078" max="3078" width="14.140625" style="92" customWidth="1"/>
    <col min="3079" max="3329" width="8.85546875" style="92"/>
    <col min="3330" max="3330" width="4.140625" style="92" customWidth="1"/>
    <col min="3331" max="3331" width="7.28515625" style="92" customWidth="1"/>
    <col min="3332" max="3333" width="14" style="92" customWidth="1"/>
    <col min="3334" max="3334" width="14.140625" style="92" customWidth="1"/>
    <col min="3335" max="3585" width="8.85546875" style="92"/>
    <col min="3586" max="3586" width="4.140625" style="92" customWidth="1"/>
    <col min="3587" max="3587" width="7.28515625" style="92" customWidth="1"/>
    <col min="3588" max="3589" width="14" style="92" customWidth="1"/>
    <col min="3590" max="3590" width="14.140625" style="92" customWidth="1"/>
    <col min="3591" max="3841" width="8.85546875" style="92"/>
    <col min="3842" max="3842" width="4.140625" style="92" customWidth="1"/>
    <col min="3843" max="3843" width="7.28515625" style="92" customWidth="1"/>
    <col min="3844" max="3845" width="14" style="92" customWidth="1"/>
    <col min="3846" max="3846" width="14.140625" style="92" customWidth="1"/>
    <col min="3847" max="4097" width="8.85546875" style="92"/>
    <col min="4098" max="4098" width="4.140625" style="92" customWidth="1"/>
    <col min="4099" max="4099" width="7.28515625" style="92" customWidth="1"/>
    <col min="4100" max="4101" width="14" style="92" customWidth="1"/>
    <col min="4102" max="4102" width="14.140625" style="92" customWidth="1"/>
    <col min="4103" max="4353" width="8.85546875" style="92"/>
    <col min="4354" max="4354" width="4.140625" style="92" customWidth="1"/>
    <col min="4355" max="4355" width="7.28515625" style="92" customWidth="1"/>
    <col min="4356" max="4357" width="14" style="92" customWidth="1"/>
    <col min="4358" max="4358" width="14.140625" style="92" customWidth="1"/>
    <col min="4359" max="4609" width="8.85546875" style="92"/>
    <col min="4610" max="4610" width="4.140625" style="92" customWidth="1"/>
    <col min="4611" max="4611" width="7.28515625" style="92" customWidth="1"/>
    <col min="4612" max="4613" width="14" style="92" customWidth="1"/>
    <col min="4614" max="4614" width="14.140625" style="92" customWidth="1"/>
    <col min="4615" max="4865" width="8.85546875" style="92"/>
    <col min="4866" max="4866" width="4.140625" style="92" customWidth="1"/>
    <col min="4867" max="4867" width="7.28515625" style="92" customWidth="1"/>
    <col min="4868" max="4869" width="14" style="92" customWidth="1"/>
    <col min="4870" max="4870" width="14.140625" style="92" customWidth="1"/>
    <col min="4871" max="5121" width="8.85546875" style="92"/>
    <col min="5122" max="5122" width="4.140625" style="92" customWidth="1"/>
    <col min="5123" max="5123" width="7.28515625" style="92" customWidth="1"/>
    <col min="5124" max="5125" width="14" style="92" customWidth="1"/>
    <col min="5126" max="5126" width="14.140625" style="92" customWidth="1"/>
    <col min="5127" max="5377" width="8.85546875" style="92"/>
    <col min="5378" max="5378" width="4.140625" style="92" customWidth="1"/>
    <col min="5379" max="5379" width="7.28515625" style="92" customWidth="1"/>
    <col min="5380" max="5381" width="14" style="92" customWidth="1"/>
    <col min="5382" max="5382" width="14.140625" style="92" customWidth="1"/>
    <col min="5383" max="5633" width="8.85546875" style="92"/>
    <col min="5634" max="5634" width="4.140625" style="92" customWidth="1"/>
    <col min="5635" max="5635" width="7.28515625" style="92" customWidth="1"/>
    <col min="5636" max="5637" width="14" style="92" customWidth="1"/>
    <col min="5638" max="5638" width="14.140625" style="92" customWidth="1"/>
    <col min="5639" max="5889" width="8.85546875" style="92"/>
    <col min="5890" max="5890" width="4.140625" style="92" customWidth="1"/>
    <col min="5891" max="5891" width="7.28515625" style="92" customWidth="1"/>
    <col min="5892" max="5893" width="14" style="92" customWidth="1"/>
    <col min="5894" max="5894" width="14.140625" style="92" customWidth="1"/>
    <col min="5895" max="6145" width="8.85546875" style="92"/>
    <col min="6146" max="6146" width="4.140625" style="92" customWidth="1"/>
    <col min="6147" max="6147" width="7.28515625" style="92" customWidth="1"/>
    <col min="6148" max="6149" width="14" style="92" customWidth="1"/>
    <col min="6150" max="6150" width="14.140625" style="92" customWidth="1"/>
    <col min="6151" max="6401" width="8.85546875" style="92"/>
    <col min="6402" max="6402" width="4.140625" style="92" customWidth="1"/>
    <col min="6403" max="6403" width="7.28515625" style="92" customWidth="1"/>
    <col min="6404" max="6405" width="14" style="92" customWidth="1"/>
    <col min="6406" max="6406" width="14.140625" style="92" customWidth="1"/>
    <col min="6407" max="6657" width="8.85546875" style="92"/>
    <col min="6658" max="6658" width="4.140625" style="92" customWidth="1"/>
    <col min="6659" max="6659" width="7.28515625" style="92" customWidth="1"/>
    <col min="6660" max="6661" width="14" style="92" customWidth="1"/>
    <col min="6662" max="6662" width="14.140625" style="92" customWidth="1"/>
    <col min="6663" max="6913" width="8.85546875" style="92"/>
    <col min="6914" max="6914" width="4.140625" style="92" customWidth="1"/>
    <col min="6915" max="6915" width="7.28515625" style="92" customWidth="1"/>
    <col min="6916" max="6917" width="14" style="92" customWidth="1"/>
    <col min="6918" max="6918" width="14.140625" style="92" customWidth="1"/>
    <col min="6919" max="7169" width="8.85546875" style="92"/>
    <col min="7170" max="7170" width="4.140625" style="92" customWidth="1"/>
    <col min="7171" max="7171" width="7.28515625" style="92" customWidth="1"/>
    <col min="7172" max="7173" width="14" style="92" customWidth="1"/>
    <col min="7174" max="7174" width="14.140625" style="92" customWidth="1"/>
    <col min="7175" max="7425" width="8.85546875" style="92"/>
    <col min="7426" max="7426" width="4.140625" style="92" customWidth="1"/>
    <col min="7427" max="7427" width="7.28515625" style="92" customWidth="1"/>
    <col min="7428" max="7429" width="14" style="92" customWidth="1"/>
    <col min="7430" max="7430" width="14.140625" style="92" customWidth="1"/>
    <col min="7431" max="7681" width="8.85546875" style="92"/>
    <col min="7682" max="7682" width="4.140625" style="92" customWidth="1"/>
    <col min="7683" max="7683" width="7.28515625" style="92" customWidth="1"/>
    <col min="7684" max="7685" width="14" style="92" customWidth="1"/>
    <col min="7686" max="7686" width="14.140625" style="92" customWidth="1"/>
    <col min="7687" max="7937" width="8.85546875" style="92"/>
    <col min="7938" max="7938" width="4.140625" style="92" customWidth="1"/>
    <col min="7939" max="7939" width="7.28515625" style="92" customWidth="1"/>
    <col min="7940" max="7941" width="14" style="92" customWidth="1"/>
    <col min="7942" max="7942" width="14.140625" style="92" customWidth="1"/>
    <col min="7943" max="8193" width="8.85546875" style="92"/>
    <col min="8194" max="8194" width="4.140625" style="92" customWidth="1"/>
    <col min="8195" max="8195" width="7.28515625" style="92" customWidth="1"/>
    <col min="8196" max="8197" width="14" style="92" customWidth="1"/>
    <col min="8198" max="8198" width="14.140625" style="92" customWidth="1"/>
    <col min="8199" max="8449" width="8.85546875" style="92"/>
    <col min="8450" max="8450" width="4.140625" style="92" customWidth="1"/>
    <col min="8451" max="8451" width="7.28515625" style="92" customWidth="1"/>
    <col min="8452" max="8453" width="14" style="92" customWidth="1"/>
    <col min="8454" max="8454" width="14.140625" style="92" customWidth="1"/>
    <col min="8455" max="8705" width="8.85546875" style="92"/>
    <col min="8706" max="8706" width="4.140625" style="92" customWidth="1"/>
    <col min="8707" max="8707" width="7.28515625" style="92" customWidth="1"/>
    <col min="8708" max="8709" width="14" style="92" customWidth="1"/>
    <col min="8710" max="8710" width="14.140625" style="92" customWidth="1"/>
    <col min="8711" max="8961" width="8.85546875" style="92"/>
    <col min="8962" max="8962" width="4.140625" style="92" customWidth="1"/>
    <col min="8963" max="8963" width="7.28515625" style="92" customWidth="1"/>
    <col min="8964" max="8965" width="14" style="92" customWidth="1"/>
    <col min="8966" max="8966" width="14.140625" style="92" customWidth="1"/>
    <col min="8967" max="9217" width="8.85546875" style="92"/>
    <col min="9218" max="9218" width="4.140625" style="92" customWidth="1"/>
    <col min="9219" max="9219" width="7.28515625" style="92" customWidth="1"/>
    <col min="9220" max="9221" width="14" style="92" customWidth="1"/>
    <col min="9222" max="9222" width="14.140625" style="92" customWidth="1"/>
    <col min="9223" max="9473" width="8.85546875" style="92"/>
    <col min="9474" max="9474" width="4.140625" style="92" customWidth="1"/>
    <col min="9475" max="9475" width="7.28515625" style="92" customWidth="1"/>
    <col min="9476" max="9477" width="14" style="92" customWidth="1"/>
    <col min="9478" max="9478" width="14.140625" style="92" customWidth="1"/>
    <col min="9479" max="9729" width="8.85546875" style="92"/>
    <col min="9730" max="9730" width="4.140625" style="92" customWidth="1"/>
    <col min="9731" max="9731" width="7.28515625" style="92" customWidth="1"/>
    <col min="9732" max="9733" width="14" style="92" customWidth="1"/>
    <col min="9734" max="9734" width="14.140625" style="92" customWidth="1"/>
    <col min="9735" max="9985" width="8.85546875" style="92"/>
    <col min="9986" max="9986" width="4.140625" style="92" customWidth="1"/>
    <col min="9987" max="9987" width="7.28515625" style="92" customWidth="1"/>
    <col min="9988" max="9989" width="14" style="92" customWidth="1"/>
    <col min="9990" max="9990" width="14.140625" style="92" customWidth="1"/>
    <col min="9991" max="10241" width="8.85546875" style="92"/>
    <col min="10242" max="10242" width="4.140625" style="92" customWidth="1"/>
    <col min="10243" max="10243" width="7.28515625" style="92" customWidth="1"/>
    <col min="10244" max="10245" width="14" style="92" customWidth="1"/>
    <col min="10246" max="10246" width="14.140625" style="92" customWidth="1"/>
    <col min="10247" max="10497" width="8.85546875" style="92"/>
    <col min="10498" max="10498" width="4.140625" style="92" customWidth="1"/>
    <col min="10499" max="10499" width="7.28515625" style="92" customWidth="1"/>
    <col min="10500" max="10501" width="14" style="92" customWidth="1"/>
    <col min="10502" max="10502" width="14.140625" style="92" customWidth="1"/>
    <col min="10503" max="10753" width="8.85546875" style="92"/>
    <col min="10754" max="10754" width="4.140625" style="92" customWidth="1"/>
    <col min="10755" max="10755" width="7.28515625" style="92" customWidth="1"/>
    <col min="10756" max="10757" width="14" style="92" customWidth="1"/>
    <col min="10758" max="10758" width="14.140625" style="92" customWidth="1"/>
    <col min="10759" max="11009" width="8.85546875" style="92"/>
    <col min="11010" max="11010" width="4.140625" style="92" customWidth="1"/>
    <col min="11011" max="11011" width="7.28515625" style="92" customWidth="1"/>
    <col min="11012" max="11013" width="14" style="92" customWidth="1"/>
    <col min="11014" max="11014" width="14.140625" style="92" customWidth="1"/>
    <col min="11015" max="11265" width="8.85546875" style="92"/>
    <col min="11266" max="11266" width="4.140625" style="92" customWidth="1"/>
    <col min="11267" max="11267" width="7.28515625" style="92" customWidth="1"/>
    <col min="11268" max="11269" width="14" style="92" customWidth="1"/>
    <col min="11270" max="11270" width="14.140625" style="92" customWidth="1"/>
    <col min="11271" max="11521" width="8.85546875" style="92"/>
    <col min="11522" max="11522" width="4.140625" style="92" customWidth="1"/>
    <col min="11523" max="11523" width="7.28515625" style="92" customWidth="1"/>
    <col min="11524" max="11525" width="14" style="92" customWidth="1"/>
    <col min="11526" max="11526" width="14.140625" style="92" customWidth="1"/>
    <col min="11527" max="11777" width="8.85546875" style="92"/>
    <col min="11778" max="11778" width="4.140625" style="92" customWidth="1"/>
    <col min="11779" max="11779" width="7.28515625" style="92" customWidth="1"/>
    <col min="11780" max="11781" width="14" style="92" customWidth="1"/>
    <col min="11782" max="11782" width="14.140625" style="92" customWidth="1"/>
    <col min="11783" max="12033" width="8.85546875" style="92"/>
    <col min="12034" max="12034" width="4.140625" style="92" customWidth="1"/>
    <col min="12035" max="12035" width="7.28515625" style="92" customWidth="1"/>
    <col min="12036" max="12037" width="14" style="92" customWidth="1"/>
    <col min="12038" max="12038" width="14.140625" style="92" customWidth="1"/>
    <col min="12039" max="12289" width="8.85546875" style="92"/>
    <col min="12290" max="12290" width="4.140625" style="92" customWidth="1"/>
    <col min="12291" max="12291" width="7.28515625" style="92" customWidth="1"/>
    <col min="12292" max="12293" width="14" style="92" customWidth="1"/>
    <col min="12294" max="12294" width="14.140625" style="92" customWidth="1"/>
    <col min="12295" max="12545" width="8.85546875" style="92"/>
    <col min="12546" max="12546" width="4.140625" style="92" customWidth="1"/>
    <col min="12547" max="12547" width="7.28515625" style="92" customWidth="1"/>
    <col min="12548" max="12549" width="14" style="92" customWidth="1"/>
    <col min="12550" max="12550" width="14.140625" style="92" customWidth="1"/>
    <col min="12551" max="12801" width="8.85546875" style="92"/>
    <col min="12802" max="12802" width="4.140625" style="92" customWidth="1"/>
    <col min="12803" max="12803" width="7.28515625" style="92" customWidth="1"/>
    <col min="12804" max="12805" width="14" style="92" customWidth="1"/>
    <col min="12806" max="12806" width="14.140625" style="92" customWidth="1"/>
    <col min="12807" max="13057" width="8.85546875" style="92"/>
    <col min="13058" max="13058" width="4.140625" style="92" customWidth="1"/>
    <col min="13059" max="13059" width="7.28515625" style="92" customWidth="1"/>
    <col min="13060" max="13061" width="14" style="92" customWidth="1"/>
    <col min="13062" max="13062" width="14.140625" style="92" customWidth="1"/>
    <col min="13063" max="13313" width="8.85546875" style="92"/>
    <col min="13314" max="13314" width="4.140625" style="92" customWidth="1"/>
    <col min="13315" max="13315" width="7.28515625" style="92" customWidth="1"/>
    <col min="13316" max="13317" width="14" style="92" customWidth="1"/>
    <col min="13318" max="13318" width="14.140625" style="92" customWidth="1"/>
    <col min="13319" max="13569" width="8.85546875" style="92"/>
    <col min="13570" max="13570" width="4.140625" style="92" customWidth="1"/>
    <col min="13571" max="13571" width="7.28515625" style="92" customWidth="1"/>
    <col min="13572" max="13573" width="14" style="92" customWidth="1"/>
    <col min="13574" max="13574" width="14.140625" style="92" customWidth="1"/>
    <col min="13575" max="13825" width="8.85546875" style="92"/>
    <col min="13826" max="13826" width="4.140625" style="92" customWidth="1"/>
    <col min="13827" max="13827" width="7.28515625" style="92" customWidth="1"/>
    <col min="13828" max="13829" width="14" style="92" customWidth="1"/>
    <col min="13830" max="13830" width="14.140625" style="92" customWidth="1"/>
    <col min="13831" max="14081" width="8.85546875" style="92"/>
    <col min="14082" max="14082" width="4.140625" style="92" customWidth="1"/>
    <col min="14083" max="14083" width="7.28515625" style="92" customWidth="1"/>
    <col min="14084" max="14085" width="14" style="92" customWidth="1"/>
    <col min="14086" max="14086" width="14.140625" style="92" customWidth="1"/>
    <col min="14087" max="14337" width="8.85546875" style="92"/>
    <col min="14338" max="14338" width="4.140625" style="92" customWidth="1"/>
    <col min="14339" max="14339" width="7.28515625" style="92" customWidth="1"/>
    <col min="14340" max="14341" width="14" style="92" customWidth="1"/>
    <col min="14342" max="14342" width="14.140625" style="92" customWidth="1"/>
    <col min="14343" max="14593" width="8.85546875" style="92"/>
    <col min="14594" max="14594" width="4.140625" style="92" customWidth="1"/>
    <col min="14595" max="14595" width="7.28515625" style="92" customWidth="1"/>
    <col min="14596" max="14597" width="14" style="92" customWidth="1"/>
    <col min="14598" max="14598" width="14.140625" style="92" customWidth="1"/>
    <col min="14599" max="14849" width="8.85546875" style="92"/>
    <col min="14850" max="14850" width="4.140625" style="92" customWidth="1"/>
    <col min="14851" max="14851" width="7.28515625" style="92" customWidth="1"/>
    <col min="14852" max="14853" width="14" style="92" customWidth="1"/>
    <col min="14854" max="14854" width="14.140625" style="92" customWidth="1"/>
    <col min="14855" max="15105" width="8.85546875" style="92"/>
    <col min="15106" max="15106" width="4.140625" style="92" customWidth="1"/>
    <col min="15107" max="15107" width="7.28515625" style="92" customWidth="1"/>
    <col min="15108" max="15109" width="14" style="92" customWidth="1"/>
    <col min="15110" max="15110" width="14.140625" style="92" customWidth="1"/>
    <col min="15111" max="15361" width="8.85546875" style="92"/>
    <col min="15362" max="15362" width="4.140625" style="92" customWidth="1"/>
    <col min="15363" max="15363" width="7.28515625" style="92" customWidth="1"/>
    <col min="15364" max="15365" width="14" style="92" customWidth="1"/>
    <col min="15366" max="15366" width="14.140625" style="92" customWidth="1"/>
    <col min="15367" max="15617" width="8.85546875" style="92"/>
    <col min="15618" max="15618" width="4.140625" style="92" customWidth="1"/>
    <col min="15619" max="15619" width="7.28515625" style="92" customWidth="1"/>
    <col min="15620" max="15621" width="14" style="92" customWidth="1"/>
    <col min="15622" max="15622" width="14.140625" style="92" customWidth="1"/>
    <col min="15623" max="15873" width="8.85546875" style="92"/>
    <col min="15874" max="15874" width="4.140625" style="92" customWidth="1"/>
    <col min="15875" max="15875" width="7.28515625" style="92" customWidth="1"/>
    <col min="15876" max="15877" width="14" style="92" customWidth="1"/>
    <col min="15878" max="15878" width="14.140625" style="92" customWidth="1"/>
    <col min="15879" max="16129" width="8.85546875" style="92"/>
    <col min="16130" max="16130" width="4.140625" style="92" customWidth="1"/>
    <col min="16131" max="16131" width="7.28515625" style="92" customWidth="1"/>
    <col min="16132" max="16133" width="14" style="92" customWidth="1"/>
    <col min="16134" max="16134" width="14.140625" style="92" customWidth="1"/>
    <col min="16135" max="16384" width="8.85546875" style="92"/>
  </cols>
  <sheetData>
    <row r="1" spans="2:25" ht="18.75">
      <c r="B1" s="387" t="s">
        <v>391</v>
      </c>
    </row>
    <row r="2" spans="2:25" ht="15.75">
      <c r="B2" s="390" t="s">
        <v>121</v>
      </c>
      <c r="D2" s="391"/>
      <c r="E2" s="92"/>
      <c r="F2" s="92"/>
      <c r="G2" s="388"/>
      <c r="H2" s="388"/>
      <c r="I2" s="388"/>
      <c r="K2" s="389"/>
      <c r="L2" s="389"/>
      <c r="O2" s="388"/>
      <c r="P2" s="388"/>
      <c r="R2" s="388"/>
      <c r="T2" s="389"/>
      <c r="U2" s="389"/>
      <c r="X2" s="388"/>
      <c r="Y2" s="388"/>
    </row>
    <row r="3" spans="2:25">
      <c r="B3" s="392" t="s">
        <v>325</v>
      </c>
      <c r="D3" s="391"/>
      <c r="E3" s="92"/>
      <c r="F3" s="92"/>
      <c r="G3" s="388"/>
      <c r="H3" s="388"/>
      <c r="I3" s="388"/>
      <c r="K3" s="389"/>
      <c r="L3" s="389"/>
      <c r="O3" s="388"/>
      <c r="P3" s="388"/>
      <c r="R3" s="388"/>
      <c r="T3" s="389"/>
      <c r="U3" s="389"/>
      <c r="X3" s="388"/>
      <c r="Y3" s="388"/>
    </row>
    <row r="4" spans="2:25">
      <c r="B4" s="392" t="s">
        <v>326</v>
      </c>
      <c r="D4" s="391"/>
      <c r="E4" s="92"/>
      <c r="F4" s="92"/>
      <c r="G4" s="388"/>
      <c r="H4" s="388"/>
      <c r="I4" s="388"/>
      <c r="K4" s="389"/>
      <c r="L4" s="389"/>
      <c r="O4" s="388"/>
      <c r="P4" s="388"/>
      <c r="R4" s="388"/>
      <c r="T4" s="389"/>
      <c r="U4" s="389"/>
      <c r="X4" s="388"/>
      <c r="Y4" s="388"/>
    </row>
    <row r="5" spans="2:25">
      <c r="B5" s="392" t="s">
        <v>327</v>
      </c>
      <c r="D5" s="391"/>
      <c r="E5" s="92"/>
      <c r="F5" s="92"/>
      <c r="G5" s="388"/>
      <c r="H5" s="388"/>
      <c r="I5" s="388"/>
      <c r="K5" s="389"/>
      <c r="L5" s="389"/>
      <c r="O5" s="388"/>
      <c r="P5" s="388"/>
      <c r="R5" s="388"/>
      <c r="T5" s="389"/>
      <c r="U5" s="389"/>
      <c r="X5" s="388"/>
      <c r="Y5" s="388"/>
    </row>
    <row r="6" spans="2:25">
      <c r="B6" s="392" t="s">
        <v>328</v>
      </c>
      <c r="D6" s="391"/>
      <c r="E6" s="92"/>
      <c r="F6" s="92"/>
      <c r="G6" s="388"/>
      <c r="H6" s="388"/>
      <c r="I6" s="388"/>
      <c r="K6" s="389"/>
      <c r="L6" s="389"/>
      <c r="O6" s="388"/>
      <c r="P6" s="388"/>
      <c r="R6" s="388"/>
      <c r="T6" s="389"/>
      <c r="U6" s="389"/>
      <c r="X6" s="388"/>
      <c r="Y6" s="388"/>
    </row>
    <row r="8" spans="2:25" ht="15" customHeight="1">
      <c r="B8" s="393" t="s">
        <v>151</v>
      </c>
      <c r="C8" s="394"/>
      <c r="D8" s="394"/>
      <c r="E8" s="395"/>
      <c r="F8" s="395"/>
      <c r="H8" s="393" t="s">
        <v>180</v>
      </c>
      <c r="I8" s="396"/>
      <c r="J8" s="394"/>
      <c r="K8" s="397"/>
      <c r="L8" s="397"/>
      <c r="P8" s="393" t="s">
        <v>181</v>
      </c>
      <c r="Q8" s="396"/>
      <c r="R8" s="398"/>
      <c r="S8" s="397"/>
      <c r="T8" s="397"/>
    </row>
    <row r="9" spans="2:25" s="432" customFormat="1" ht="45.75" customHeight="1">
      <c r="B9" s="428" t="s">
        <v>141</v>
      </c>
      <c r="C9" s="429" t="s">
        <v>142</v>
      </c>
      <c r="D9" s="430" t="s">
        <v>329</v>
      </c>
      <c r="E9" s="429" t="s">
        <v>143</v>
      </c>
      <c r="F9" s="431" t="s">
        <v>152</v>
      </c>
      <c r="H9" s="428" t="s">
        <v>141</v>
      </c>
      <c r="I9" s="433" t="s">
        <v>142</v>
      </c>
      <c r="J9" s="413" t="s">
        <v>330</v>
      </c>
      <c r="K9" s="433" t="s">
        <v>143</v>
      </c>
      <c r="L9" s="413" t="s">
        <v>152</v>
      </c>
      <c r="M9" s="434" t="s">
        <v>153</v>
      </c>
      <c r="P9" s="428" t="s">
        <v>141</v>
      </c>
      <c r="Q9" s="433" t="s">
        <v>142</v>
      </c>
      <c r="R9" s="430" t="s">
        <v>329</v>
      </c>
      <c r="S9" s="433" t="s">
        <v>143</v>
      </c>
      <c r="T9" s="413" t="s">
        <v>152</v>
      </c>
      <c r="U9" s="434" t="s">
        <v>153</v>
      </c>
    </row>
    <row r="10" spans="2:25" ht="16.5" customHeight="1">
      <c r="B10" s="399">
        <v>1</v>
      </c>
      <c r="C10" s="400">
        <v>0</v>
      </c>
      <c r="D10" s="401">
        <f>'A4-Capital Req.'!C11-('A2-Cider Apple Budget'!C31*F40)</f>
        <v>263089.68460018811</v>
      </c>
      <c r="E10" s="402">
        <f>C10-D10</f>
        <v>-263089.68460018811</v>
      </c>
      <c r="F10" s="403">
        <f t="shared" ref="F10:F34" si="0">E10/(1+$F$42)^B10</f>
        <v>-250561.60438113153</v>
      </c>
      <c r="H10" s="399">
        <f>B10</f>
        <v>1</v>
      </c>
      <c r="I10" s="400">
        <f>C10</f>
        <v>0</v>
      </c>
      <c r="J10" s="401">
        <f>('A2-Cider Apple Budget'!C33-'A2-Cider Apple Budget'!C31+'A2-Cider Apple Budget'!C47+'A2-Cider Apple Budget'!C48+'A2-Cider Apple Budget'!C49)*$M$40</f>
        <v>85160.841015992482</v>
      </c>
      <c r="K10" s="402">
        <f>I10-J10</f>
        <v>-85160.841015992482</v>
      </c>
      <c r="L10" s="402">
        <f t="shared" ref="L10:L34" si="1">K10/(1+$M$42)^H10</f>
        <v>-81105.56287237379</v>
      </c>
      <c r="M10" s="404">
        <f>L10</f>
        <v>-81105.56287237379</v>
      </c>
      <c r="P10" s="399">
        <f>B10</f>
        <v>1</v>
      </c>
      <c r="Q10" s="400">
        <f>C10</f>
        <v>0</v>
      </c>
      <c r="R10" s="401">
        <f>D10</f>
        <v>263089.68460018811</v>
      </c>
      <c r="S10" s="402">
        <f>Q10-R10</f>
        <v>-263089.68460018811</v>
      </c>
      <c r="T10" s="402">
        <f t="shared" ref="T10:T34" si="2">S10/(1+$U$42)^P10</f>
        <v>-250561.60438113153</v>
      </c>
      <c r="U10" s="404">
        <f>T10</f>
        <v>-250561.60438113153</v>
      </c>
    </row>
    <row r="11" spans="2:25">
      <c r="B11" s="399">
        <f>1+B10</f>
        <v>2</v>
      </c>
      <c r="C11" s="400">
        <v>0</v>
      </c>
      <c r="D11" s="400">
        <f>'A4-Capital Req.'!D11-('A2-Cider Apple Budget'!D31*F40)</f>
        <v>29650.554327375354</v>
      </c>
      <c r="E11" s="402">
        <f t="shared" ref="E11:E21" si="3">C11-D11</f>
        <v>-29650.554327375354</v>
      </c>
      <c r="F11" s="403">
        <f t="shared" si="0"/>
        <v>-26893.926827551339</v>
      </c>
      <c r="H11" s="399">
        <f t="shared" ref="H11:H34" si="4">B11</f>
        <v>2</v>
      </c>
      <c r="I11" s="400">
        <f>C11</f>
        <v>0</v>
      </c>
      <c r="J11" s="401">
        <f>('A2-Cider Apple Budget'!D33-'A2-Cider Apple Budget'!D31+'A2-Cider Apple Budget'!D47+'A2-Cider Apple Budget'!D48+'A2-Cider Apple Budget'!D49)*$M$40</f>
        <v>29985.089369708374</v>
      </c>
      <c r="K11" s="402">
        <f t="shared" ref="K11:K34" si="5">I11-J11</f>
        <v>-29985.089369708374</v>
      </c>
      <c r="L11" s="402">
        <f t="shared" si="1"/>
        <v>-27197.359972524602</v>
      </c>
      <c r="M11" s="404">
        <f>SUM(L$10:$L11)</f>
        <v>-108302.92284489839</v>
      </c>
      <c r="P11" s="399">
        <f t="shared" ref="P11:P34" si="6">B11</f>
        <v>2</v>
      </c>
      <c r="Q11" s="400">
        <f t="shared" ref="Q11:Q33" si="7">C11</f>
        <v>0</v>
      </c>
      <c r="R11" s="401">
        <f t="shared" ref="R11:R33" si="8">D11</f>
        <v>29650.554327375354</v>
      </c>
      <c r="S11" s="402">
        <f t="shared" ref="S11:S33" si="9">Q11-R11</f>
        <v>-29650.554327375354</v>
      </c>
      <c r="T11" s="402">
        <f t="shared" si="2"/>
        <v>-26893.926827551339</v>
      </c>
      <c r="U11" s="404">
        <f>SUM($T$10:T11)</f>
        <v>-277455.53120868286</v>
      </c>
    </row>
    <row r="12" spans="2:25">
      <c r="B12" s="399">
        <f t="shared" ref="B12:B34" si="10">1+B11</f>
        <v>3</v>
      </c>
      <c r="C12" s="400">
        <f>F36*F37*F40</f>
        <v>16875</v>
      </c>
      <c r="D12" s="400">
        <f>'A4-Capital Req.'!E11-('A2-Cider Apple Budget'!E31*F40)</f>
        <v>39608.544920037624</v>
      </c>
      <c r="E12" s="402">
        <f t="shared" si="3"/>
        <v>-22733.544920037624</v>
      </c>
      <c r="F12" s="403">
        <f t="shared" si="0"/>
        <v>-19638.090849832737</v>
      </c>
      <c r="H12" s="399">
        <f t="shared" si="4"/>
        <v>3</v>
      </c>
      <c r="I12" s="400">
        <f>M36*M37*M40</f>
        <v>16875</v>
      </c>
      <c r="J12" s="401">
        <f>('A2-Cider Apple Budget'!E33-'A2-Cider Apple Budget'!E31+'A2-Cider Apple Budget'!E47+'A2-Cider Apple Budget'!E48+'A2-Cider Apple Budget'!E49)*$M$40</f>
        <v>41111.335841956716</v>
      </c>
      <c r="K12" s="402">
        <f t="shared" si="5"/>
        <v>-24236.335841956716</v>
      </c>
      <c r="L12" s="402">
        <f t="shared" si="1"/>
        <v>-20936.258150918227</v>
      </c>
      <c r="M12" s="404">
        <f>SUM(L$10:$L12)</f>
        <v>-129239.18099581663</v>
      </c>
      <c r="P12" s="399">
        <f t="shared" si="6"/>
        <v>3</v>
      </c>
      <c r="Q12" s="400">
        <f t="shared" si="7"/>
        <v>16875</v>
      </c>
      <c r="R12" s="401">
        <f t="shared" si="8"/>
        <v>39608.544920037624</v>
      </c>
      <c r="S12" s="402">
        <f t="shared" si="9"/>
        <v>-22733.544920037624</v>
      </c>
      <c r="T12" s="402">
        <f t="shared" si="2"/>
        <v>-19638.090849832737</v>
      </c>
      <c r="U12" s="404">
        <f>SUM($T$10:T12)</f>
        <v>-297093.62205851561</v>
      </c>
    </row>
    <row r="13" spans="2:25">
      <c r="B13" s="399">
        <f t="shared" si="10"/>
        <v>4</v>
      </c>
      <c r="C13" s="400">
        <f>F36*F38*F40</f>
        <v>40500</v>
      </c>
      <c r="D13" s="400">
        <f>'A4-Capital Req.'!F11-('A2-Cider Apple Budget'!F31*F40)</f>
        <v>51812.918156161802</v>
      </c>
      <c r="E13" s="402">
        <f t="shared" si="3"/>
        <v>-11312.918156161802</v>
      </c>
      <c r="F13" s="403">
        <f t="shared" si="0"/>
        <v>-9307.1657641923284</v>
      </c>
      <c r="H13" s="399">
        <f t="shared" si="4"/>
        <v>4</v>
      </c>
      <c r="I13" s="400">
        <f>M36*M38*M40</f>
        <v>40500</v>
      </c>
      <c r="J13" s="401">
        <f>('A2-Cider Apple Budget'!F33-'A2-Cider Apple Budget'!F31+'A2-Cider Apple Budget'!F47+'A2-Cider Apple Budget'!F48+'A2-Cider Apple Budget'!F49)*$M$40</f>
        <v>54747.507055503287</v>
      </c>
      <c r="K13" s="402">
        <f t="shared" si="5"/>
        <v>-14247.507055503287</v>
      </c>
      <c r="L13" s="402">
        <f t="shared" si="1"/>
        <v>-11721.459314177353</v>
      </c>
      <c r="M13" s="404">
        <f>SUM(L$10:$L13)</f>
        <v>-140960.64030999399</v>
      </c>
      <c r="P13" s="399">
        <f t="shared" si="6"/>
        <v>4</v>
      </c>
      <c r="Q13" s="400">
        <f t="shared" si="7"/>
        <v>40500</v>
      </c>
      <c r="R13" s="401">
        <f t="shared" si="8"/>
        <v>51812.918156161802</v>
      </c>
      <c r="S13" s="402">
        <f t="shared" si="9"/>
        <v>-11312.918156161802</v>
      </c>
      <c r="T13" s="402">
        <f t="shared" si="2"/>
        <v>-9307.1657641923284</v>
      </c>
      <c r="U13" s="404">
        <f>SUM($T$10:T13)</f>
        <v>-306400.78782270796</v>
      </c>
    </row>
    <row r="14" spans="2:25">
      <c r="B14" s="399">
        <f t="shared" si="10"/>
        <v>5</v>
      </c>
      <c r="C14" s="400">
        <f>F36*F39*F40</f>
        <v>155250</v>
      </c>
      <c r="D14" s="400">
        <f>'A4-Capital Req.'!G11-('A2-Cider Apple Budget'!G31*F40)</f>
        <v>79065.376763875829</v>
      </c>
      <c r="E14" s="402">
        <f t="shared" si="3"/>
        <v>76184.623236124171</v>
      </c>
      <c r="F14" s="403">
        <f t="shared" si="0"/>
        <v>59692.645788044254</v>
      </c>
      <c r="H14" s="399">
        <f t="shared" si="4"/>
        <v>5</v>
      </c>
      <c r="I14" s="400">
        <f>M36*M39*M40</f>
        <v>155250</v>
      </c>
      <c r="J14" s="401">
        <f>('A2-Cider Apple Budget'!G33-'A2-Cider Apple Budget'!G31+'A2-Cider Apple Budget'!G47+'A2-Cider Apple Budget'!G48+'A2-Cider Apple Budget'!G49)*M40</f>
        <v>85083.913452492969</v>
      </c>
      <c r="K14" s="402">
        <f t="shared" si="5"/>
        <v>70166.086547507031</v>
      </c>
      <c r="L14" s="402">
        <f t="shared" si="1"/>
        <v>54976.964808662291</v>
      </c>
      <c r="M14" s="404">
        <f>SUM(L$10:$L14)</f>
        <v>-85983.675501331702</v>
      </c>
      <c r="P14" s="399">
        <f t="shared" si="6"/>
        <v>5</v>
      </c>
      <c r="Q14" s="400">
        <f t="shared" si="7"/>
        <v>155250</v>
      </c>
      <c r="R14" s="401">
        <f t="shared" si="8"/>
        <v>79065.376763875829</v>
      </c>
      <c r="S14" s="402">
        <f t="shared" si="9"/>
        <v>76184.623236124171</v>
      </c>
      <c r="T14" s="402">
        <f t="shared" si="2"/>
        <v>59692.645788044254</v>
      </c>
      <c r="U14" s="404">
        <f>SUM($T$10:T14)</f>
        <v>-246708.1420346637</v>
      </c>
    </row>
    <row r="15" spans="2:25">
      <c r="B15" s="399">
        <f t="shared" si="10"/>
        <v>6</v>
      </c>
      <c r="C15" s="400">
        <f t="shared" ref="C15:C34" si="11">$C$14</f>
        <v>155250</v>
      </c>
      <c r="D15" s="400">
        <f t="shared" ref="D15:D34" si="12">$D$14</f>
        <v>79065.376763875829</v>
      </c>
      <c r="E15" s="402">
        <f t="shared" si="3"/>
        <v>76184.623236124171</v>
      </c>
      <c r="F15" s="403">
        <f t="shared" si="0"/>
        <v>56850.138845756439</v>
      </c>
      <c r="H15" s="399">
        <f t="shared" si="4"/>
        <v>6</v>
      </c>
      <c r="I15" s="400">
        <f t="shared" ref="I15:I34" si="13">$I$14</f>
        <v>155250</v>
      </c>
      <c r="J15" s="401">
        <f t="shared" ref="J15:J34" si="14">$J$14</f>
        <v>85083.913452492969</v>
      </c>
      <c r="K15" s="402">
        <f t="shared" si="5"/>
        <v>70166.086547507031</v>
      </c>
      <c r="L15" s="402">
        <f t="shared" si="1"/>
        <v>52359.014103487905</v>
      </c>
      <c r="M15" s="404">
        <f>SUM(L$10:$L15)</f>
        <v>-33624.661397843796</v>
      </c>
      <c r="P15" s="399">
        <f t="shared" si="6"/>
        <v>6</v>
      </c>
      <c r="Q15" s="400">
        <f t="shared" si="7"/>
        <v>155250</v>
      </c>
      <c r="R15" s="401">
        <f t="shared" si="8"/>
        <v>79065.376763875829</v>
      </c>
      <c r="S15" s="402">
        <f t="shared" si="9"/>
        <v>76184.623236124171</v>
      </c>
      <c r="T15" s="402">
        <f t="shared" si="2"/>
        <v>56850.138845756439</v>
      </c>
      <c r="U15" s="404">
        <f>SUM($T$10:T15)</f>
        <v>-189858.00318890726</v>
      </c>
    </row>
    <row r="16" spans="2:25">
      <c r="B16" s="399">
        <f t="shared" si="10"/>
        <v>7</v>
      </c>
      <c r="C16" s="400">
        <f t="shared" si="11"/>
        <v>155250</v>
      </c>
      <c r="D16" s="400">
        <f t="shared" si="12"/>
        <v>79065.376763875829</v>
      </c>
      <c r="E16" s="402">
        <f t="shared" si="3"/>
        <v>76184.623236124171</v>
      </c>
      <c r="F16" s="403">
        <f t="shared" si="0"/>
        <v>54142.989376910882</v>
      </c>
      <c r="H16" s="399">
        <f t="shared" si="4"/>
        <v>7</v>
      </c>
      <c r="I16" s="400">
        <f t="shared" si="13"/>
        <v>155250</v>
      </c>
      <c r="J16" s="401">
        <f t="shared" si="14"/>
        <v>85083.913452492969</v>
      </c>
      <c r="K16" s="402">
        <f t="shared" si="5"/>
        <v>70166.086547507031</v>
      </c>
      <c r="L16" s="402">
        <f t="shared" si="1"/>
        <v>49865.727717607515</v>
      </c>
      <c r="M16" s="404">
        <f>SUM(L$10:$L16)</f>
        <v>16241.066319763719</v>
      </c>
      <c r="P16" s="399">
        <f t="shared" si="6"/>
        <v>7</v>
      </c>
      <c r="Q16" s="400">
        <f t="shared" si="7"/>
        <v>155250</v>
      </c>
      <c r="R16" s="401">
        <f t="shared" si="8"/>
        <v>79065.376763875829</v>
      </c>
      <c r="S16" s="402">
        <f t="shared" si="9"/>
        <v>76184.623236124171</v>
      </c>
      <c r="T16" s="402">
        <f t="shared" si="2"/>
        <v>54142.989376910882</v>
      </c>
      <c r="U16" s="404">
        <f>SUM($T$10:T16)</f>
        <v>-135715.01381199638</v>
      </c>
    </row>
    <row r="17" spans="2:21">
      <c r="B17" s="399">
        <f t="shared" si="10"/>
        <v>8</v>
      </c>
      <c r="C17" s="400">
        <f t="shared" si="11"/>
        <v>155250</v>
      </c>
      <c r="D17" s="400">
        <f t="shared" si="12"/>
        <v>79065.376763875829</v>
      </c>
      <c r="E17" s="402">
        <f t="shared" si="3"/>
        <v>76184.623236124171</v>
      </c>
      <c r="F17" s="403">
        <f t="shared" si="0"/>
        <v>51564.75178753418</v>
      </c>
      <c r="H17" s="399">
        <f t="shared" si="4"/>
        <v>8</v>
      </c>
      <c r="I17" s="400">
        <f t="shared" si="13"/>
        <v>155250</v>
      </c>
      <c r="J17" s="401">
        <f t="shared" si="14"/>
        <v>85083.913452492969</v>
      </c>
      <c r="K17" s="402">
        <f t="shared" si="5"/>
        <v>70166.086547507031</v>
      </c>
      <c r="L17" s="402">
        <f t="shared" si="1"/>
        <v>47491.169254864311</v>
      </c>
      <c r="M17" s="404">
        <f>SUM(L$10:$L17)</f>
        <v>63732.23557462803</v>
      </c>
      <c r="P17" s="399">
        <f t="shared" si="6"/>
        <v>8</v>
      </c>
      <c r="Q17" s="400">
        <f t="shared" si="7"/>
        <v>155250</v>
      </c>
      <c r="R17" s="401">
        <f t="shared" si="8"/>
        <v>79065.376763875829</v>
      </c>
      <c r="S17" s="402">
        <f t="shared" si="9"/>
        <v>76184.623236124171</v>
      </c>
      <c r="T17" s="402">
        <f t="shared" si="2"/>
        <v>51564.75178753418</v>
      </c>
      <c r="U17" s="404">
        <f>SUM($T$10:T17)</f>
        <v>-84150.262024462194</v>
      </c>
    </row>
    <row r="18" spans="2:21">
      <c r="B18" s="399">
        <f t="shared" si="10"/>
        <v>9</v>
      </c>
      <c r="C18" s="400">
        <f t="shared" si="11"/>
        <v>155250</v>
      </c>
      <c r="D18" s="400">
        <f t="shared" si="12"/>
        <v>79065.376763875829</v>
      </c>
      <c r="E18" s="402">
        <f t="shared" si="3"/>
        <v>76184.623236124171</v>
      </c>
      <c r="F18" s="403">
        <f t="shared" si="0"/>
        <v>49109.287416699219</v>
      </c>
      <c r="H18" s="399">
        <f t="shared" si="4"/>
        <v>9</v>
      </c>
      <c r="I18" s="400">
        <f t="shared" si="13"/>
        <v>155250</v>
      </c>
      <c r="J18" s="401">
        <f t="shared" si="14"/>
        <v>85083.913452492969</v>
      </c>
      <c r="K18" s="402">
        <f t="shared" si="5"/>
        <v>70166.086547507031</v>
      </c>
      <c r="L18" s="402">
        <f t="shared" si="1"/>
        <v>45229.685004632673</v>
      </c>
      <c r="M18" s="404">
        <f>SUM(L$10:$L18)</f>
        <v>108961.92057926071</v>
      </c>
      <c r="P18" s="399">
        <f t="shared" si="6"/>
        <v>9</v>
      </c>
      <c r="Q18" s="400">
        <f t="shared" si="7"/>
        <v>155250</v>
      </c>
      <c r="R18" s="401">
        <f t="shared" si="8"/>
        <v>79065.376763875829</v>
      </c>
      <c r="S18" s="402">
        <f t="shared" si="9"/>
        <v>76184.623236124171</v>
      </c>
      <c r="T18" s="402">
        <f t="shared" si="2"/>
        <v>49109.287416699219</v>
      </c>
      <c r="U18" s="404">
        <f>SUM($T$10:T18)</f>
        <v>-35040.974607762975</v>
      </c>
    </row>
    <row r="19" spans="2:21">
      <c r="B19" s="399">
        <f t="shared" si="10"/>
        <v>10</v>
      </c>
      <c r="C19" s="400">
        <f t="shared" si="11"/>
        <v>155250</v>
      </c>
      <c r="D19" s="400">
        <f t="shared" si="12"/>
        <v>79065.376763875829</v>
      </c>
      <c r="E19" s="402">
        <f t="shared" si="3"/>
        <v>76184.623236124171</v>
      </c>
      <c r="F19" s="403">
        <f t="shared" si="0"/>
        <v>46770.749920665919</v>
      </c>
      <c r="H19" s="399">
        <f t="shared" si="4"/>
        <v>10</v>
      </c>
      <c r="I19" s="400">
        <f t="shared" si="13"/>
        <v>155250</v>
      </c>
      <c r="J19" s="401">
        <f t="shared" si="14"/>
        <v>85083.913452492969</v>
      </c>
      <c r="K19" s="402">
        <f t="shared" si="5"/>
        <v>70166.086547507031</v>
      </c>
      <c r="L19" s="402">
        <f t="shared" si="1"/>
        <v>43075.890480602546</v>
      </c>
      <c r="M19" s="404">
        <f>SUM(L$10:$L19)</f>
        <v>152037.81105986325</v>
      </c>
      <c r="P19" s="399">
        <f t="shared" si="6"/>
        <v>10</v>
      </c>
      <c r="Q19" s="400">
        <f t="shared" si="7"/>
        <v>155250</v>
      </c>
      <c r="R19" s="401">
        <f t="shared" si="8"/>
        <v>79065.376763875829</v>
      </c>
      <c r="S19" s="402">
        <f t="shared" si="9"/>
        <v>76184.623236124171</v>
      </c>
      <c r="T19" s="402">
        <f t="shared" si="2"/>
        <v>46770.749920665919</v>
      </c>
      <c r="U19" s="404">
        <f>SUM($T$10:T19)</f>
        <v>11729.775312902944</v>
      </c>
    </row>
    <row r="20" spans="2:21">
      <c r="B20" s="399">
        <f t="shared" si="10"/>
        <v>11</v>
      </c>
      <c r="C20" s="400">
        <f t="shared" si="11"/>
        <v>155250</v>
      </c>
      <c r="D20" s="400">
        <f t="shared" si="12"/>
        <v>79065.376763875829</v>
      </c>
      <c r="E20" s="402">
        <f t="shared" si="3"/>
        <v>76184.623236124171</v>
      </c>
      <c r="F20" s="403">
        <f t="shared" si="0"/>
        <v>44543.571353015162</v>
      </c>
      <c r="H20" s="399">
        <f t="shared" si="4"/>
        <v>11</v>
      </c>
      <c r="I20" s="400">
        <f t="shared" si="13"/>
        <v>155250</v>
      </c>
      <c r="J20" s="401">
        <f t="shared" si="14"/>
        <v>85083.913452492969</v>
      </c>
      <c r="K20" s="402">
        <f t="shared" si="5"/>
        <v>70166.086547507031</v>
      </c>
      <c r="L20" s="402">
        <f t="shared" si="1"/>
        <v>41024.657600573853</v>
      </c>
      <c r="M20" s="404">
        <f>SUM(L$10:$L20)</f>
        <v>193062.46866043709</v>
      </c>
      <c r="P20" s="399">
        <f t="shared" si="6"/>
        <v>11</v>
      </c>
      <c r="Q20" s="400">
        <f t="shared" si="7"/>
        <v>155250</v>
      </c>
      <c r="R20" s="401">
        <f t="shared" si="8"/>
        <v>79065.376763875829</v>
      </c>
      <c r="S20" s="402">
        <f t="shared" si="9"/>
        <v>76184.623236124171</v>
      </c>
      <c r="T20" s="402">
        <f t="shared" si="2"/>
        <v>44543.571353015162</v>
      </c>
      <c r="U20" s="404">
        <f>SUM($T$10:T20)</f>
        <v>56273.346665918107</v>
      </c>
    </row>
    <row r="21" spans="2:21">
      <c r="B21" s="399">
        <f t="shared" si="10"/>
        <v>12</v>
      </c>
      <c r="C21" s="400">
        <f t="shared" si="11"/>
        <v>155250</v>
      </c>
      <c r="D21" s="400">
        <f t="shared" si="12"/>
        <v>79065.376763875829</v>
      </c>
      <c r="E21" s="402">
        <f t="shared" si="3"/>
        <v>76184.623236124171</v>
      </c>
      <c r="F21" s="403">
        <f t="shared" si="0"/>
        <v>42422.448907633494</v>
      </c>
      <c r="H21" s="399">
        <f t="shared" si="4"/>
        <v>12</v>
      </c>
      <c r="I21" s="400">
        <f t="shared" si="13"/>
        <v>155250</v>
      </c>
      <c r="J21" s="401">
        <f t="shared" si="14"/>
        <v>85083.913452492969</v>
      </c>
      <c r="K21" s="402">
        <f t="shared" si="5"/>
        <v>70166.086547507031</v>
      </c>
      <c r="L21" s="402">
        <f t="shared" si="1"/>
        <v>39071.102476737004</v>
      </c>
      <c r="M21" s="404">
        <f>SUM(L$10:$L21)</f>
        <v>232133.57113717409</v>
      </c>
      <c r="P21" s="399">
        <f t="shared" si="6"/>
        <v>12</v>
      </c>
      <c r="Q21" s="400">
        <f t="shared" si="7"/>
        <v>155250</v>
      </c>
      <c r="R21" s="401">
        <f t="shared" si="8"/>
        <v>79065.376763875829</v>
      </c>
      <c r="S21" s="402">
        <f t="shared" si="9"/>
        <v>76184.623236124171</v>
      </c>
      <c r="T21" s="402">
        <f t="shared" si="2"/>
        <v>42422.448907633494</v>
      </c>
      <c r="U21" s="404">
        <f>SUM($T$10:T21)</f>
        <v>98695.795573551601</v>
      </c>
    </row>
    <row r="22" spans="2:21">
      <c r="B22" s="399">
        <f t="shared" si="10"/>
        <v>13</v>
      </c>
      <c r="C22" s="400">
        <f t="shared" si="11"/>
        <v>155250</v>
      </c>
      <c r="D22" s="400">
        <f t="shared" si="12"/>
        <v>79065.376763875829</v>
      </c>
      <c r="E22" s="402">
        <f t="shared" ref="E22:E33" si="15">C22-D22</f>
        <v>76184.623236124171</v>
      </c>
      <c r="F22" s="403">
        <f t="shared" si="0"/>
        <v>40402.332292984269</v>
      </c>
      <c r="H22" s="399">
        <f t="shared" si="4"/>
        <v>13</v>
      </c>
      <c r="I22" s="400">
        <f t="shared" si="13"/>
        <v>155250</v>
      </c>
      <c r="J22" s="401">
        <f t="shared" si="14"/>
        <v>85083.913452492969</v>
      </c>
      <c r="K22" s="402">
        <f t="shared" si="5"/>
        <v>70166.086547507031</v>
      </c>
      <c r="L22" s="402">
        <f t="shared" si="1"/>
        <v>37210.573787368572</v>
      </c>
      <c r="M22" s="404">
        <f>SUM(L$10:$L22)</f>
        <v>269344.14492454263</v>
      </c>
      <c r="P22" s="399">
        <f t="shared" si="6"/>
        <v>13</v>
      </c>
      <c r="Q22" s="400">
        <f t="shared" si="7"/>
        <v>155250</v>
      </c>
      <c r="R22" s="401">
        <f t="shared" si="8"/>
        <v>79065.376763875829</v>
      </c>
      <c r="S22" s="402">
        <f t="shared" si="9"/>
        <v>76184.623236124171</v>
      </c>
      <c r="T22" s="402">
        <f t="shared" si="2"/>
        <v>40402.332292984269</v>
      </c>
      <c r="U22" s="404">
        <f>SUM($T$10:T22)</f>
        <v>139098.12786653585</v>
      </c>
    </row>
    <row r="23" spans="2:21">
      <c r="B23" s="399">
        <f t="shared" si="10"/>
        <v>14</v>
      </c>
      <c r="C23" s="400">
        <f t="shared" si="11"/>
        <v>155250</v>
      </c>
      <c r="D23" s="400">
        <f t="shared" si="12"/>
        <v>79065.376763875829</v>
      </c>
      <c r="E23" s="402">
        <f t="shared" si="15"/>
        <v>76184.623236124171</v>
      </c>
      <c r="F23" s="403">
        <f t="shared" si="0"/>
        <v>38478.411707604078</v>
      </c>
      <c r="H23" s="399">
        <f t="shared" si="4"/>
        <v>14</v>
      </c>
      <c r="I23" s="400">
        <f t="shared" si="13"/>
        <v>155250</v>
      </c>
      <c r="J23" s="401">
        <f t="shared" si="14"/>
        <v>85083.913452492969</v>
      </c>
      <c r="K23" s="402">
        <f t="shared" si="5"/>
        <v>70166.086547507031</v>
      </c>
      <c r="L23" s="402">
        <f t="shared" si="1"/>
        <v>35438.641702255787</v>
      </c>
      <c r="M23" s="404">
        <f>SUM(L$10:$L23)</f>
        <v>304782.78662679845</v>
      </c>
      <c r="P23" s="399">
        <f t="shared" si="6"/>
        <v>14</v>
      </c>
      <c r="Q23" s="400">
        <f t="shared" si="7"/>
        <v>155250</v>
      </c>
      <c r="R23" s="401">
        <f t="shared" si="8"/>
        <v>79065.376763875829</v>
      </c>
      <c r="S23" s="402">
        <f t="shared" si="9"/>
        <v>76184.623236124171</v>
      </c>
      <c r="T23" s="402">
        <f t="shared" si="2"/>
        <v>38478.411707604078</v>
      </c>
      <c r="U23" s="404">
        <f>SUM($T$10:T23)</f>
        <v>177576.53957413993</v>
      </c>
    </row>
    <row r="24" spans="2:21">
      <c r="B24" s="399">
        <f t="shared" si="10"/>
        <v>15</v>
      </c>
      <c r="C24" s="400">
        <f t="shared" si="11"/>
        <v>155250</v>
      </c>
      <c r="D24" s="400">
        <f t="shared" si="12"/>
        <v>79065.376763875829</v>
      </c>
      <c r="E24" s="402">
        <f t="shared" si="15"/>
        <v>76184.623236124171</v>
      </c>
      <c r="F24" s="403">
        <f t="shared" si="0"/>
        <v>36646.106388194348</v>
      </c>
      <c r="H24" s="399">
        <f t="shared" si="4"/>
        <v>15</v>
      </c>
      <c r="I24" s="400">
        <f t="shared" si="13"/>
        <v>155250</v>
      </c>
      <c r="J24" s="401">
        <f t="shared" si="14"/>
        <v>85083.913452492969</v>
      </c>
      <c r="K24" s="402">
        <f t="shared" si="5"/>
        <v>70166.086547507031</v>
      </c>
      <c r="L24" s="402">
        <f t="shared" si="1"/>
        <v>33751.087335481694</v>
      </c>
      <c r="M24" s="404">
        <f>SUM(L$10:$L24)</f>
        <v>338533.87396228017</v>
      </c>
      <c r="P24" s="399">
        <f t="shared" si="6"/>
        <v>15</v>
      </c>
      <c r="Q24" s="400">
        <f t="shared" si="7"/>
        <v>155250</v>
      </c>
      <c r="R24" s="401">
        <f t="shared" si="8"/>
        <v>79065.376763875829</v>
      </c>
      <c r="S24" s="402">
        <f t="shared" si="9"/>
        <v>76184.623236124171</v>
      </c>
      <c r="T24" s="402">
        <f t="shared" si="2"/>
        <v>36646.106388194348</v>
      </c>
      <c r="U24" s="404">
        <f>SUM($T$10:T24)</f>
        <v>214222.64596233427</v>
      </c>
    </row>
    <row r="25" spans="2:21">
      <c r="B25" s="399">
        <f t="shared" si="10"/>
        <v>16</v>
      </c>
      <c r="C25" s="400">
        <f t="shared" si="11"/>
        <v>155250</v>
      </c>
      <c r="D25" s="400">
        <f t="shared" si="12"/>
        <v>79065.376763875829</v>
      </c>
      <c r="E25" s="402">
        <f t="shared" si="15"/>
        <v>76184.623236124171</v>
      </c>
      <c r="F25" s="403">
        <f t="shared" si="0"/>
        <v>34901.053703042242</v>
      </c>
      <c r="H25" s="399">
        <f t="shared" si="4"/>
        <v>16</v>
      </c>
      <c r="I25" s="400">
        <f t="shared" si="13"/>
        <v>155250</v>
      </c>
      <c r="J25" s="401">
        <f t="shared" si="14"/>
        <v>85083.913452492969</v>
      </c>
      <c r="K25" s="402">
        <f t="shared" si="5"/>
        <v>70166.086547507031</v>
      </c>
      <c r="L25" s="402">
        <f t="shared" si="1"/>
        <v>32143.89270045876</v>
      </c>
      <c r="M25" s="404">
        <f>SUM(L$10:$L25)</f>
        <v>370677.76666273893</v>
      </c>
      <c r="P25" s="399">
        <f t="shared" si="6"/>
        <v>16</v>
      </c>
      <c r="Q25" s="400">
        <f t="shared" si="7"/>
        <v>155250</v>
      </c>
      <c r="R25" s="401">
        <f t="shared" si="8"/>
        <v>79065.376763875829</v>
      </c>
      <c r="S25" s="402">
        <f t="shared" si="9"/>
        <v>76184.623236124171</v>
      </c>
      <c r="T25" s="402">
        <f t="shared" si="2"/>
        <v>34901.053703042242</v>
      </c>
      <c r="U25" s="404">
        <f>SUM($T$10:T25)</f>
        <v>249123.69966537651</v>
      </c>
    </row>
    <row r="26" spans="2:21">
      <c r="B26" s="399">
        <f t="shared" si="10"/>
        <v>17</v>
      </c>
      <c r="C26" s="400">
        <f t="shared" si="11"/>
        <v>155250</v>
      </c>
      <c r="D26" s="400">
        <f t="shared" si="12"/>
        <v>79065.376763875829</v>
      </c>
      <c r="E26" s="402">
        <f t="shared" si="15"/>
        <v>76184.623236124171</v>
      </c>
      <c r="F26" s="403">
        <f t="shared" si="0"/>
        <v>33239.098764802126</v>
      </c>
      <c r="H26" s="399">
        <f t="shared" si="4"/>
        <v>17</v>
      </c>
      <c r="I26" s="400">
        <f t="shared" si="13"/>
        <v>155250</v>
      </c>
      <c r="J26" s="401">
        <f t="shared" si="14"/>
        <v>85083.913452492969</v>
      </c>
      <c r="K26" s="402">
        <f t="shared" si="5"/>
        <v>70166.086547507031</v>
      </c>
      <c r="L26" s="402">
        <f t="shared" si="1"/>
        <v>30613.231143294051</v>
      </c>
      <c r="M26" s="404">
        <f>SUM(L$10:$L26)</f>
        <v>401290.997806033</v>
      </c>
      <c r="P26" s="399">
        <f t="shared" si="6"/>
        <v>17</v>
      </c>
      <c r="Q26" s="400">
        <f t="shared" si="7"/>
        <v>155250</v>
      </c>
      <c r="R26" s="401">
        <f t="shared" si="8"/>
        <v>79065.376763875829</v>
      </c>
      <c r="S26" s="402">
        <f t="shared" si="9"/>
        <v>76184.623236124171</v>
      </c>
      <c r="T26" s="402">
        <f t="shared" si="2"/>
        <v>33239.098764802126</v>
      </c>
      <c r="U26" s="404">
        <f>SUM($T$10:T26)</f>
        <v>282362.79843017866</v>
      </c>
    </row>
    <row r="27" spans="2:21">
      <c r="B27" s="399">
        <f t="shared" si="10"/>
        <v>18</v>
      </c>
      <c r="C27" s="400">
        <f t="shared" si="11"/>
        <v>155250</v>
      </c>
      <c r="D27" s="400">
        <f t="shared" si="12"/>
        <v>79065.376763875829</v>
      </c>
      <c r="E27" s="402">
        <f t="shared" si="15"/>
        <v>76184.623236124171</v>
      </c>
      <c r="F27" s="403">
        <f t="shared" si="0"/>
        <v>31656.284537906788</v>
      </c>
      <c r="H27" s="399">
        <f t="shared" si="4"/>
        <v>18</v>
      </c>
      <c r="I27" s="400">
        <f t="shared" si="13"/>
        <v>155250</v>
      </c>
      <c r="J27" s="401">
        <f t="shared" si="14"/>
        <v>85083.913452492969</v>
      </c>
      <c r="K27" s="402">
        <f t="shared" si="5"/>
        <v>70166.086547507031</v>
      </c>
      <c r="L27" s="402">
        <f t="shared" si="1"/>
        <v>29155.458231708621</v>
      </c>
      <c r="M27" s="404">
        <f>SUM(L$10:$L27)</f>
        <v>430446.45603774162</v>
      </c>
      <c r="P27" s="399">
        <f t="shared" si="6"/>
        <v>18</v>
      </c>
      <c r="Q27" s="400">
        <f t="shared" si="7"/>
        <v>155250</v>
      </c>
      <c r="R27" s="401">
        <f t="shared" si="8"/>
        <v>79065.376763875829</v>
      </c>
      <c r="S27" s="402">
        <f t="shared" si="9"/>
        <v>76184.623236124171</v>
      </c>
      <c r="T27" s="402">
        <f t="shared" si="2"/>
        <v>31656.284537906788</v>
      </c>
      <c r="U27" s="404">
        <f>SUM($T$10:T27)</f>
        <v>314019.08296808542</v>
      </c>
    </row>
    <row r="28" spans="2:21">
      <c r="B28" s="399">
        <f t="shared" si="10"/>
        <v>19</v>
      </c>
      <c r="C28" s="400">
        <f t="shared" si="11"/>
        <v>155250</v>
      </c>
      <c r="D28" s="400">
        <f t="shared" si="12"/>
        <v>79065.376763875829</v>
      </c>
      <c r="E28" s="402">
        <f t="shared" si="15"/>
        <v>76184.623236124171</v>
      </c>
      <c r="F28" s="403">
        <f t="shared" si="0"/>
        <v>30148.842417054086</v>
      </c>
      <c r="H28" s="399">
        <f t="shared" si="4"/>
        <v>19</v>
      </c>
      <c r="I28" s="400">
        <f t="shared" si="13"/>
        <v>155250</v>
      </c>
      <c r="J28" s="401">
        <f t="shared" si="14"/>
        <v>85083.913452492969</v>
      </c>
      <c r="K28" s="402">
        <f t="shared" si="5"/>
        <v>70166.086547507031</v>
      </c>
      <c r="L28" s="402">
        <f t="shared" si="1"/>
        <v>27767.103077817734</v>
      </c>
      <c r="M28" s="404">
        <f>SUM(L$10:$L28)</f>
        <v>458213.55911555933</v>
      </c>
      <c r="P28" s="399">
        <f t="shared" si="6"/>
        <v>19</v>
      </c>
      <c r="Q28" s="400">
        <f t="shared" si="7"/>
        <v>155250</v>
      </c>
      <c r="R28" s="401">
        <f t="shared" si="8"/>
        <v>79065.376763875829</v>
      </c>
      <c r="S28" s="402">
        <f t="shared" si="9"/>
        <v>76184.623236124171</v>
      </c>
      <c r="T28" s="402">
        <f t="shared" si="2"/>
        <v>30148.842417054086</v>
      </c>
      <c r="U28" s="404">
        <f>SUM($T$10:T28)</f>
        <v>344167.92538513953</v>
      </c>
    </row>
    <row r="29" spans="2:21">
      <c r="B29" s="399">
        <f t="shared" si="10"/>
        <v>20</v>
      </c>
      <c r="C29" s="400">
        <f t="shared" si="11"/>
        <v>155250</v>
      </c>
      <c r="D29" s="400">
        <f t="shared" si="12"/>
        <v>79065.376763875829</v>
      </c>
      <c r="E29" s="402">
        <f t="shared" si="15"/>
        <v>76184.623236124171</v>
      </c>
      <c r="F29" s="403">
        <f t="shared" si="0"/>
        <v>28713.183254337226</v>
      </c>
      <c r="H29" s="399">
        <f t="shared" si="4"/>
        <v>20</v>
      </c>
      <c r="I29" s="400">
        <f t="shared" si="13"/>
        <v>155250</v>
      </c>
      <c r="J29" s="401">
        <f t="shared" si="14"/>
        <v>85083.913452492969</v>
      </c>
      <c r="K29" s="402">
        <f t="shared" si="5"/>
        <v>70166.086547507031</v>
      </c>
      <c r="L29" s="402">
        <f t="shared" si="1"/>
        <v>26444.86007411213</v>
      </c>
      <c r="M29" s="404">
        <f>SUM(L$10:$L29)</f>
        <v>484658.41918967146</v>
      </c>
      <c r="P29" s="399">
        <f t="shared" si="6"/>
        <v>20</v>
      </c>
      <c r="Q29" s="400">
        <f t="shared" si="7"/>
        <v>155250</v>
      </c>
      <c r="R29" s="401">
        <f t="shared" si="8"/>
        <v>79065.376763875829</v>
      </c>
      <c r="S29" s="402">
        <f t="shared" si="9"/>
        <v>76184.623236124171</v>
      </c>
      <c r="T29" s="402">
        <f t="shared" si="2"/>
        <v>28713.183254337226</v>
      </c>
      <c r="U29" s="404">
        <f>SUM($T$10:T29)</f>
        <v>372881.10863947676</v>
      </c>
    </row>
    <row r="30" spans="2:21">
      <c r="B30" s="399">
        <f t="shared" si="10"/>
        <v>21</v>
      </c>
      <c r="C30" s="400">
        <f t="shared" si="11"/>
        <v>155250</v>
      </c>
      <c r="D30" s="400">
        <f t="shared" si="12"/>
        <v>79065.376763875829</v>
      </c>
      <c r="E30" s="402">
        <f t="shared" si="15"/>
        <v>76184.623236124171</v>
      </c>
      <c r="F30" s="403">
        <f t="shared" si="0"/>
        <v>27345.888813654499</v>
      </c>
      <c r="H30" s="399">
        <f t="shared" si="4"/>
        <v>21</v>
      </c>
      <c r="I30" s="400">
        <f t="shared" si="13"/>
        <v>155250</v>
      </c>
      <c r="J30" s="401">
        <f t="shared" si="14"/>
        <v>85083.913452492969</v>
      </c>
      <c r="K30" s="402">
        <f t="shared" si="5"/>
        <v>70166.086547507031</v>
      </c>
      <c r="L30" s="402">
        <f t="shared" si="1"/>
        <v>25185.581022963932</v>
      </c>
      <c r="M30" s="404">
        <f>SUM(L$10:$L30)</f>
        <v>509844.00021263538</v>
      </c>
      <c r="P30" s="399">
        <f t="shared" si="6"/>
        <v>21</v>
      </c>
      <c r="Q30" s="400">
        <f t="shared" si="7"/>
        <v>155250</v>
      </c>
      <c r="R30" s="401">
        <f t="shared" si="8"/>
        <v>79065.376763875829</v>
      </c>
      <c r="S30" s="402">
        <f t="shared" si="9"/>
        <v>76184.623236124171</v>
      </c>
      <c r="T30" s="402">
        <f t="shared" si="2"/>
        <v>27345.888813654499</v>
      </c>
      <c r="U30" s="404">
        <f>SUM($T$10:T30)</f>
        <v>400226.99745313125</v>
      </c>
    </row>
    <row r="31" spans="2:21">
      <c r="B31" s="399">
        <f t="shared" si="10"/>
        <v>22</v>
      </c>
      <c r="C31" s="400">
        <f t="shared" si="11"/>
        <v>155250</v>
      </c>
      <c r="D31" s="400">
        <f t="shared" si="12"/>
        <v>79065.376763875829</v>
      </c>
      <c r="E31" s="402">
        <f t="shared" si="15"/>
        <v>76184.623236124171</v>
      </c>
      <c r="F31" s="403">
        <f t="shared" si="0"/>
        <v>26043.703632051907</v>
      </c>
      <c r="H31" s="399">
        <f t="shared" si="4"/>
        <v>22</v>
      </c>
      <c r="I31" s="400">
        <f t="shared" si="13"/>
        <v>155250</v>
      </c>
      <c r="J31" s="401">
        <f t="shared" si="14"/>
        <v>85083.913452492969</v>
      </c>
      <c r="K31" s="402">
        <f t="shared" si="5"/>
        <v>70166.086547507031</v>
      </c>
      <c r="L31" s="402">
        <f t="shared" si="1"/>
        <v>23986.267640918031</v>
      </c>
      <c r="M31" s="404">
        <f>SUM(L$10:$L31)</f>
        <v>533830.26785355341</v>
      </c>
      <c r="P31" s="399">
        <f t="shared" si="6"/>
        <v>22</v>
      </c>
      <c r="Q31" s="400">
        <f t="shared" si="7"/>
        <v>155250</v>
      </c>
      <c r="R31" s="401">
        <f t="shared" si="8"/>
        <v>79065.376763875829</v>
      </c>
      <c r="S31" s="402">
        <f t="shared" si="9"/>
        <v>76184.623236124171</v>
      </c>
      <c r="T31" s="402">
        <f t="shared" si="2"/>
        <v>26043.703632051907</v>
      </c>
      <c r="U31" s="404">
        <f>SUM($T$10:T31)</f>
        <v>426270.70108518313</v>
      </c>
    </row>
    <row r="32" spans="2:21">
      <c r="B32" s="399">
        <f t="shared" si="10"/>
        <v>23</v>
      </c>
      <c r="C32" s="400">
        <f t="shared" si="11"/>
        <v>155250</v>
      </c>
      <c r="D32" s="400">
        <f t="shared" si="12"/>
        <v>79065.376763875829</v>
      </c>
      <c r="E32" s="402">
        <f t="shared" si="15"/>
        <v>76184.623236124171</v>
      </c>
      <c r="F32" s="403">
        <f t="shared" si="0"/>
        <v>24803.527268620859</v>
      </c>
      <c r="H32" s="399">
        <f t="shared" si="4"/>
        <v>23</v>
      </c>
      <c r="I32" s="400">
        <f t="shared" si="13"/>
        <v>155250</v>
      </c>
      <c r="J32" s="401">
        <f t="shared" si="14"/>
        <v>85083.913452492969</v>
      </c>
      <c r="K32" s="402">
        <f t="shared" si="5"/>
        <v>70166.086547507031</v>
      </c>
      <c r="L32" s="402">
        <f t="shared" si="1"/>
        <v>22844.064419921931</v>
      </c>
      <c r="M32" s="404">
        <f>SUM(L$10:$L32)</f>
        <v>556674.33227347536</v>
      </c>
      <c r="P32" s="399">
        <f t="shared" si="6"/>
        <v>23</v>
      </c>
      <c r="Q32" s="400">
        <f t="shared" si="7"/>
        <v>155250</v>
      </c>
      <c r="R32" s="401">
        <f t="shared" si="8"/>
        <v>79065.376763875829</v>
      </c>
      <c r="S32" s="402">
        <f t="shared" si="9"/>
        <v>76184.623236124171</v>
      </c>
      <c r="T32" s="402">
        <f t="shared" si="2"/>
        <v>24803.527268620859</v>
      </c>
      <c r="U32" s="404">
        <f>SUM($T$10:T32)</f>
        <v>451074.22835380398</v>
      </c>
    </row>
    <row r="33" spans="2:21">
      <c r="B33" s="399">
        <f t="shared" si="10"/>
        <v>24</v>
      </c>
      <c r="C33" s="400">
        <f t="shared" si="11"/>
        <v>155250</v>
      </c>
      <c r="D33" s="400">
        <f t="shared" si="12"/>
        <v>79065.376763875829</v>
      </c>
      <c r="E33" s="402">
        <f t="shared" si="15"/>
        <v>76184.623236124171</v>
      </c>
      <c r="F33" s="403">
        <f t="shared" si="0"/>
        <v>23622.406922496059</v>
      </c>
      <c r="H33" s="399">
        <f t="shared" si="4"/>
        <v>24</v>
      </c>
      <c r="I33" s="400">
        <f t="shared" si="13"/>
        <v>155250</v>
      </c>
      <c r="J33" s="401">
        <f t="shared" si="14"/>
        <v>85083.913452492969</v>
      </c>
      <c r="K33" s="402">
        <f t="shared" si="5"/>
        <v>70166.086547507031</v>
      </c>
      <c r="L33" s="402">
        <f t="shared" si="1"/>
        <v>21756.251828497079</v>
      </c>
      <c r="M33" s="404">
        <f>SUM(L$10:$L33)</f>
        <v>578430.5841019724</v>
      </c>
      <c r="P33" s="399">
        <f t="shared" si="6"/>
        <v>24</v>
      </c>
      <c r="Q33" s="400">
        <f t="shared" si="7"/>
        <v>155250</v>
      </c>
      <c r="R33" s="401">
        <f t="shared" si="8"/>
        <v>79065.376763875829</v>
      </c>
      <c r="S33" s="402">
        <f t="shared" si="9"/>
        <v>76184.623236124171</v>
      </c>
      <c r="T33" s="402">
        <f t="shared" si="2"/>
        <v>23622.406922496059</v>
      </c>
      <c r="U33" s="404">
        <f>SUM($T$10:T33)</f>
        <v>474696.63527630002</v>
      </c>
    </row>
    <row r="34" spans="2:21">
      <c r="B34" s="399">
        <f t="shared" si="10"/>
        <v>25</v>
      </c>
      <c r="C34" s="400">
        <f t="shared" si="11"/>
        <v>155250</v>
      </c>
      <c r="D34" s="400">
        <f t="shared" si="12"/>
        <v>79065.376763875829</v>
      </c>
      <c r="E34" s="402">
        <f t="shared" ref="E34" si="16">C34-D34</f>
        <v>76184.623236124171</v>
      </c>
      <c r="F34" s="403">
        <f t="shared" si="0"/>
        <v>22497.530402377197</v>
      </c>
      <c r="H34" s="399">
        <f t="shared" si="4"/>
        <v>25</v>
      </c>
      <c r="I34" s="400">
        <f t="shared" si="13"/>
        <v>155250</v>
      </c>
      <c r="J34" s="401">
        <f t="shared" si="14"/>
        <v>85083.913452492969</v>
      </c>
      <c r="K34" s="402">
        <f t="shared" si="5"/>
        <v>70166.086547507031</v>
      </c>
      <c r="L34" s="402">
        <f t="shared" si="1"/>
        <v>20720.239836663884</v>
      </c>
      <c r="M34" s="404">
        <f>SUM(L$10:$L34)</f>
        <v>599150.82393863634</v>
      </c>
      <c r="P34" s="399">
        <f t="shared" si="6"/>
        <v>25</v>
      </c>
      <c r="Q34" s="400">
        <f t="shared" ref="Q34" si="17">C34</f>
        <v>155250</v>
      </c>
      <c r="R34" s="401">
        <f t="shared" ref="R34" si="18">D34</f>
        <v>79065.376763875829</v>
      </c>
      <c r="S34" s="402">
        <f t="shared" ref="S34" si="19">Q34-R34</f>
        <v>76184.623236124171</v>
      </c>
      <c r="T34" s="402">
        <f t="shared" si="2"/>
        <v>22497.530402377197</v>
      </c>
      <c r="U34" s="404">
        <f>SUM($T$10:T34)</f>
        <v>497194.16567867721</v>
      </c>
    </row>
    <row r="35" spans="2:21">
      <c r="B35" s="399"/>
      <c r="C35" s="396"/>
      <c r="D35" s="396"/>
      <c r="E35" s="397"/>
      <c r="F35" s="405"/>
      <c r="H35" s="399"/>
      <c r="I35" s="396"/>
      <c r="J35" s="396"/>
      <c r="K35" s="397"/>
      <c r="L35" s="397"/>
      <c r="M35" s="406"/>
      <c r="P35" s="399"/>
      <c r="Q35" s="396"/>
      <c r="R35" s="396"/>
      <c r="S35" s="397"/>
      <c r="T35" s="397"/>
      <c r="U35" s="406"/>
    </row>
    <row r="36" spans="2:21" s="417" customFormat="1">
      <c r="B36" s="415"/>
      <c r="C36" s="416"/>
      <c r="E36" s="418" t="s">
        <v>144</v>
      </c>
      <c r="F36" s="419">
        <f>'A13-Data for tables'!G3</f>
        <v>337.5</v>
      </c>
      <c r="H36" s="415"/>
      <c r="I36" s="416"/>
      <c r="J36" s="416"/>
      <c r="L36" s="418" t="s">
        <v>144</v>
      </c>
      <c r="M36" s="419">
        <f>F36</f>
        <v>337.5</v>
      </c>
      <c r="P36" s="415"/>
      <c r="Q36" s="416"/>
      <c r="R36" s="416"/>
      <c r="T36" s="418" t="s">
        <v>144</v>
      </c>
      <c r="U36" s="419">
        <f>F36</f>
        <v>337.5</v>
      </c>
    </row>
    <row r="37" spans="2:21" s="417" customFormat="1">
      <c r="B37" s="415"/>
      <c r="C37" s="416"/>
      <c r="E37" s="418" t="s">
        <v>145</v>
      </c>
      <c r="F37" s="420">
        <f>'A13-Data for tables'!E4</f>
        <v>5</v>
      </c>
      <c r="H37" s="415"/>
      <c r="I37" s="416"/>
      <c r="J37" s="416"/>
      <c r="L37" s="418" t="s">
        <v>145</v>
      </c>
      <c r="M37" s="420">
        <f>F37</f>
        <v>5</v>
      </c>
      <c r="P37" s="415"/>
      <c r="Q37" s="416"/>
      <c r="R37" s="416"/>
      <c r="T37" s="418" t="s">
        <v>145</v>
      </c>
      <c r="U37" s="420">
        <f>F37</f>
        <v>5</v>
      </c>
    </row>
    <row r="38" spans="2:21" s="417" customFormat="1">
      <c r="B38" s="415"/>
      <c r="C38" s="416"/>
      <c r="E38" s="418" t="s">
        <v>146</v>
      </c>
      <c r="F38" s="420">
        <f>'A13-Data for tables'!F4</f>
        <v>12</v>
      </c>
      <c r="H38" s="415"/>
      <c r="I38" s="416"/>
      <c r="J38" s="416"/>
      <c r="L38" s="418" t="s">
        <v>146</v>
      </c>
      <c r="M38" s="420">
        <f>F38</f>
        <v>12</v>
      </c>
      <c r="P38" s="415"/>
      <c r="Q38" s="416"/>
      <c r="R38" s="416"/>
      <c r="T38" s="418" t="s">
        <v>146</v>
      </c>
      <c r="U38" s="420">
        <f>F38</f>
        <v>12</v>
      </c>
    </row>
    <row r="39" spans="2:21" s="417" customFormat="1">
      <c r="B39" s="415"/>
      <c r="C39" s="416"/>
      <c r="E39" s="418" t="s">
        <v>147</v>
      </c>
      <c r="F39" s="420">
        <f>'A13-Data for tables'!G4</f>
        <v>46</v>
      </c>
      <c r="H39" s="415"/>
      <c r="I39" s="416"/>
      <c r="J39" s="416"/>
      <c r="L39" s="418" t="s">
        <v>147</v>
      </c>
      <c r="M39" s="420">
        <f>F39</f>
        <v>46</v>
      </c>
      <c r="P39" s="415"/>
      <c r="Q39" s="416"/>
      <c r="R39" s="416"/>
      <c r="T39" s="418" t="s">
        <v>147</v>
      </c>
      <c r="U39" s="420">
        <f>F39</f>
        <v>46</v>
      </c>
    </row>
    <row r="40" spans="2:21" s="417" customFormat="1">
      <c r="B40" s="415"/>
      <c r="C40" s="416"/>
      <c r="E40" s="418" t="s">
        <v>148</v>
      </c>
      <c r="F40" s="420">
        <f>'A13-Data for tables'!G48</f>
        <v>10</v>
      </c>
      <c r="H40" s="415"/>
      <c r="I40" s="416"/>
      <c r="J40" s="416"/>
      <c r="L40" s="418" t="s">
        <v>148</v>
      </c>
      <c r="M40" s="420">
        <f>F40</f>
        <v>10</v>
      </c>
      <c r="P40" s="415"/>
      <c r="Q40" s="416"/>
      <c r="R40" s="416"/>
      <c r="T40" s="418" t="s">
        <v>148</v>
      </c>
      <c r="U40" s="420">
        <f>F40</f>
        <v>10</v>
      </c>
    </row>
    <row r="41" spans="2:21" s="417" customFormat="1">
      <c r="B41" s="415"/>
      <c r="C41" s="416"/>
      <c r="E41" s="421" t="s">
        <v>149</v>
      </c>
      <c r="F41" s="422">
        <f>SUM(F10:F34)</f>
        <v>497194.16567867721</v>
      </c>
      <c r="H41" s="415"/>
      <c r="I41" s="416"/>
      <c r="J41" s="416"/>
      <c r="L41" s="421" t="s">
        <v>154</v>
      </c>
      <c r="M41" s="423">
        <f>H15+(-M15/L16)</f>
        <v>6.6743040347924367</v>
      </c>
      <c r="P41" s="415"/>
      <c r="Q41" s="416"/>
      <c r="R41" s="416"/>
      <c r="T41" s="421" t="s">
        <v>154</v>
      </c>
      <c r="U41" s="423">
        <f>P18+(-U18/T19)</f>
        <v>9.7492070293335171</v>
      </c>
    </row>
    <row r="42" spans="2:21" s="417" customFormat="1">
      <c r="B42" s="424"/>
      <c r="C42" s="425"/>
      <c r="D42" s="425"/>
      <c r="E42" s="426" t="s">
        <v>150</v>
      </c>
      <c r="F42" s="427">
        <v>0.05</v>
      </c>
      <c r="H42" s="424"/>
      <c r="I42" s="425"/>
      <c r="J42" s="425"/>
      <c r="K42" s="425"/>
      <c r="L42" s="426" t="s">
        <v>150</v>
      </c>
      <c r="M42" s="427">
        <f>F42</f>
        <v>0.05</v>
      </c>
      <c r="P42" s="424"/>
      <c r="Q42" s="425"/>
      <c r="R42" s="425"/>
      <c r="S42" s="425"/>
      <c r="T42" s="426" t="s">
        <v>150</v>
      </c>
      <c r="U42" s="427">
        <f>F42</f>
        <v>0.05</v>
      </c>
    </row>
    <row r="44" spans="2:21">
      <c r="E44" s="407"/>
      <c r="F44" s="407"/>
      <c r="K44" s="407"/>
      <c r="L44" s="407"/>
      <c r="S44" s="407"/>
      <c r="T44" s="407"/>
    </row>
  </sheetData>
  <pageMargins left="0.7" right="0.7" top="0.75" bottom="0.75" header="0.3" footer="0.3"/>
  <pageSetup orientation="portrait" horizontalDpi="4294967292" verticalDpi="4294967292"/>
  <ignoredErrors>
    <ignoredError sqref="U41"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K70"/>
  <sheetViews>
    <sheetView topLeftCell="B1" zoomScaleNormal="100" workbookViewId="0">
      <selection activeCell="B3" sqref="B3"/>
    </sheetView>
  </sheetViews>
  <sheetFormatPr defaultColWidth="9.140625" defaultRowHeight="15"/>
  <cols>
    <col min="1" max="1" width="5.140625" style="41" customWidth="1"/>
    <col min="2" max="2" width="39.140625" style="43" customWidth="1"/>
    <col min="3" max="3" width="15" style="43" customWidth="1"/>
    <col min="4" max="4" width="13.42578125" style="43" customWidth="1"/>
    <col min="5" max="6" width="14" style="43" customWidth="1"/>
    <col min="7" max="7" width="13" style="43" customWidth="1"/>
    <col min="8" max="8" width="3.42578125" style="43" customWidth="1"/>
    <col min="9" max="9" width="13.85546875" style="43" customWidth="1"/>
    <col min="10" max="16384" width="9.140625" style="43"/>
  </cols>
  <sheetData>
    <row r="1" spans="1:11">
      <c r="B1" s="72"/>
    </row>
    <row r="2" spans="1:11" s="40" customFormat="1" ht="37.5" customHeight="1">
      <c r="A2" s="39"/>
      <c r="B2" s="446" t="s">
        <v>389</v>
      </c>
      <c r="C2" s="446"/>
      <c r="D2" s="446"/>
      <c r="E2" s="446"/>
      <c r="F2" s="446"/>
      <c r="G2" s="446"/>
      <c r="H2" s="446"/>
      <c r="I2" s="446"/>
      <c r="J2" s="87"/>
    </row>
    <row r="3" spans="1:11" ht="16.899999999999999" customHeight="1">
      <c r="B3" s="47"/>
      <c r="C3" s="447" t="s">
        <v>0</v>
      </c>
      <c r="D3" s="447"/>
      <c r="E3" s="447"/>
      <c r="F3" s="447"/>
      <c r="G3" s="449" t="s">
        <v>156</v>
      </c>
      <c r="H3" s="51"/>
      <c r="I3" s="51"/>
      <c r="J3" s="82"/>
    </row>
    <row r="4" spans="1:11">
      <c r="B4" s="58"/>
      <c r="C4" s="411" t="s">
        <v>1</v>
      </c>
      <c r="D4" s="411" t="s">
        <v>2</v>
      </c>
      <c r="E4" s="411" t="s">
        <v>3</v>
      </c>
      <c r="F4" s="411" t="s">
        <v>4</v>
      </c>
      <c r="G4" s="450"/>
      <c r="H4" s="51"/>
      <c r="I4" s="412" t="s">
        <v>51</v>
      </c>
      <c r="J4" s="82"/>
    </row>
    <row r="5" spans="1:11" ht="18">
      <c r="B5" s="42" t="s">
        <v>190</v>
      </c>
      <c r="C5" s="61"/>
      <c r="D5" s="61"/>
      <c r="E5" s="256">
        <f>'A13-Data for tables'!E$4</f>
        <v>5</v>
      </c>
      <c r="F5" s="256">
        <f>'A13-Data for tables'!F$4</f>
        <v>12</v>
      </c>
      <c r="G5" s="256">
        <f>'A13-Data for tables'!G$4</f>
        <v>46</v>
      </c>
      <c r="H5" s="42"/>
      <c r="I5" s="257"/>
      <c r="J5" s="89"/>
    </row>
    <row r="6" spans="1:11">
      <c r="B6" s="42" t="s">
        <v>184</v>
      </c>
      <c r="C6" s="62"/>
      <c r="D6" s="62"/>
      <c r="E6" s="63">
        <f>'A13-Data for tables'!$E$3</f>
        <v>337.5</v>
      </c>
      <c r="F6" s="63">
        <f>'A13-Data for tables'!$F$3</f>
        <v>337.5</v>
      </c>
      <c r="G6" s="63">
        <f>'A13-Data for tables'!$G$3</f>
        <v>337.5</v>
      </c>
      <c r="H6" s="42"/>
      <c r="I6" s="258"/>
      <c r="J6" s="65"/>
    </row>
    <row r="7" spans="1:11">
      <c r="B7" s="42"/>
      <c r="C7" s="44"/>
      <c r="D7" s="44"/>
      <c r="E7" s="44"/>
      <c r="F7" s="45"/>
      <c r="G7" s="45"/>
      <c r="H7" s="42"/>
      <c r="I7" s="70"/>
      <c r="J7" s="82"/>
    </row>
    <row r="8" spans="1:11">
      <c r="B8" s="47" t="s">
        <v>179</v>
      </c>
      <c r="C8" s="48"/>
      <c r="D8" s="48"/>
      <c r="E8" s="49">
        <f>E5*E6</f>
        <v>1687.5</v>
      </c>
      <c r="F8" s="49">
        <f>F5*F6</f>
        <v>4050</v>
      </c>
      <c r="G8" s="49">
        <f>G5*G6</f>
        <v>15525</v>
      </c>
      <c r="H8" s="42"/>
      <c r="I8" s="94"/>
      <c r="J8" s="82"/>
    </row>
    <row r="9" spans="1:11">
      <c r="B9" s="47"/>
      <c r="C9" s="50"/>
      <c r="D9" s="50"/>
      <c r="E9" s="50"/>
      <c r="F9" s="46"/>
      <c r="G9" s="46"/>
      <c r="H9" s="42"/>
      <c r="I9" s="70"/>
      <c r="J9" s="91"/>
    </row>
    <row r="10" spans="1:11">
      <c r="B10" s="51" t="s">
        <v>41</v>
      </c>
      <c r="C10" s="44"/>
      <c r="D10" s="44"/>
      <c r="E10" s="44"/>
      <c r="F10" s="44"/>
      <c r="G10" s="44"/>
      <c r="H10" s="42"/>
      <c r="I10" s="259"/>
    </row>
    <row r="11" spans="1:11">
      <c r="B11" s="52" t="s">
        <v>8</v>
      </c>
      <c r="C11" s="42"/>
      <c r="D11" s="42"/>
      <c r="E11" s="42"/>
      <c r="F11" s="42"/>
      <c r="G11" s="42"/>
      <c r="H11" s="42"/>
      <c r="I11" s="159"/>
    </row>
    <row r="12" spans="1:11">
      <c r="B12" s="53" t="s">
        <v>40</v>
      </c>
      <c r="C12" s="45">
        <f>'A9-Estab Costs'!$G$7</f>
        <v>517.40357478833494</v>
      </c>
      <c r="D12" s="45"/>
      <c r="E12" s="45"/>
      <c r="F12" s="45"/>
      <c r="G12" s="45"/>
      <c r="H12" s="42"/>
      <c r="I12" s="258"/>
      <c r="K12" s="72"/>
    </row>
    <row r="13" spans="1:11">
      <c r="B13" s="53" t="s">
        <v>71</v>
      </c>
      <c r="C13" s="45">
        <f>'A9-Estab Costs'!$G$11</f>
        <v>5421.4374412041388</v>
      </c>
      <c r="D13" s="45"/>
      <c r="E13" s="45"/>
      <c r="F13" s="45"/>
      <c r="G13" s="45"/>
      <c r="H13" s="42"/>
      <c r="I13" s="258"/>
    </row>
    <row r="14" spans="1:11">
      <c r="B14" s="52" t="s">
        <v>11</v>
      </c>
      <c r="C14" s="45"/>
      <c r="D14" s="45"/>
      <c r="E14" s="45"/>
      <c r="F14" s="45"/>
      <c r="G14" s="45"/>
      <c r="H14" s="42"/>
      <c r="I14" s="159"/>
    </row>
    <row r="15" spans="1:11">
      <c r="B15" s="53" t="s">
        <v>345</v>
      </c>
      <c r="C15" s="54">
        <f>'A9-Estab Costs'!$G$21</f>
        <v>298.02445907808089</v>
      </c>
      <c r="D15" s="54">
        <f>'A9-Estab Costs'!$G$38</f>
        <v>745.06114769520218</v>
      </c>
      <c r="E15" s="54">
        <f>'A9-Estab Costs'!$G$55</f>
        <v>1117.5917215428033</v>
      </c>
      <c r="F15" s="54">
        <f>'A9-Estab Costs'!$G$74</f>
        <v>1490.1222953904044</v>
      </c>
      <c r="G15" s="54">
        <f>'A10-Full Prod Costs'!$G$4</f>
        <v>1303.8570084666039</v>
      </c>
      <c r="H15" s="42"/>
      <c r="I15" s="258"/>
    </row>
    <row r="16" spans="1:11">
      <c r="B16" s="53" t="s">
        <v>346</v>
      </c>
      <c r="C16" s="54">
        <f>'A9-Estab Costs'!G22</f>
        <v>0</v>
      </c>
      <c r="D16" s="54">
        <f>'A9-Estab Costs'!G39</f>
        <v>149.01222953904045</v>
      </c>
      <c r="E16" s="54">
        <f>'A9-Estab Costs'!$G$56</f>
        <v>298.02445907808089</v>
      </c>
      <c r="F16" s="54">
        <f>'A9-Estab Costs'!$G$75</f>
        <v>596.04891815616179</v>
      </c>
      <c r="G16" s="54">
        <f>'A10-Full Prod Costs'!$G$5</f>
        <v>596.04891815616179</v>
      </c>
      <c r="H16" s="42"/>
      <c r="I16" s="258"/>
    </row>
    <row r="17" spans="1:11">
      <c r="A17" s="43"/>
      <c r="B17" s="53" t="s">
        <v>347</v>
      </c>
      <c r="C17" s="45">
        <f>'A9-Estab Costs'!$G$29</f>
        <v>496.70743179680147</v>
      </c>
      <c r="D17" s="45">
        <f>'A9-Estab Costs'!$G$46</f>
        <v>496.70743179680147</v>
      </c>
      <c r="E17" s="45">
        <f>'A9-Estab Costs'!$G$64</f>
        <v>496.70743179680147</v>
      </c>
      <c r="F17" s="45">
        <f>'A9-Estab Costs'!$G$83</f>
        <v>496.70743179680147</v>
      </c>
      <c r="G17" s="45">
        <f>'A10-Full Prod Costs'!$G$13</f>
        <v>496.70743179680147</v>
      </c>
      <c r="H17" s="42"/>
      <c r="I17" s="258"/>
    </row>
    <row r="18" spans="1:11" ht="18">
      <c r="B18" s="53" t="s">
        <v>349</v>
      </c>
      <c r="C18" s="54">
        <f>'A9-Estab Costs'!$G$23</f>
        <v>362.18250235183439</v>
      </c>
      <c r="D18" s="54">
        <f>'A9-Estab Costs'!$G$40</f>
        <v>362.18250235183439</v>
      </c>
      <c r="E18" s="54">
        <f>'A9-Estab Costs'!$G$57</f>
        <v>362.18250235183439</v>
      </c>
      <c r="F18" s="54">
        <f>'A9-Estab Costs'!$G$76</f>
        <v>362.18250235183439</v>
      </c>
      <c r="G18" s="54">
        <f>'A10-Full Prod Costs'!$G$6</f>
        <v>362.18250235183439</v>
      </c>
      <c r="H18" s="42"/>
      <c r="I18" s="258"/>
    </row>
    <row r="19" spans="1:11" ht="18">
      <c r="B19" s="53" t="s">
        <v>350</v>
      </c>
      <c r="C19" s="54">
        <f>'A9-Estab Costs'!$G$25</f>
        <v>0</v>
      </c>
      <c r="D19" s="54">
        <f>'A9-Estab Costs'!$G$42</f>
        <v>62.088428974600184</v>
      </c>
      <c r="E19" s="54">
        <f>'A9-Estab Costs'!$G$59</f>
        <v>62.088428974600184</v>
      </c>
      <c r="F19" s="54">
        <f>'A9-Estab Costs'!$G$78</f>
        <v>62.088428974600184</v>
      </c>
      <c r="G19" s="54">
        <f>'A10-Full Prod Costs'!$G$8</f>
        <v>256.63217309501408</v>
      </c>
      <c r="H19" s="42"/>
      <c r="I19" s="258"/>
    </row>
    <row r="20" spans="1:11" ht="18">
      <c r="B20" s="53" t="s">
        <v>351</v>
      </c>
      <c r="C20" s="54">
        <f>'A9-Estab Costs'!$G$24</f>
        <v>124.17685794920037</v>
      </c>
      <c r="D20" s="54">
        <f>'A9-Estab Costs'!$G$41</f>
        <v>124.17685794920037</v>
      </c>
      <c r="E20" s="54">
        <f>'A9-Estab Costs'!$G$58</f>
        <v>124.17685794920037</v>
      </c>
      <c r="F20" s="54">
        <f>'A9-Estab Costs'!$G$77</f>
        <v>124.17685794920037</v>
      </c>
      <c r="G20" s="54">
        <f>'A10-Full Prod Costs'!$G$7</f>
        <v>124.17685794920037</v>
      </c>
      <c r="H20" s="42"/>
      <c r="I20" s="301"/>
    </row>
    <row r="21" spans="1:11">
      <c r="A21" s="43"/>
      <c r="B21" s="53" t="s">
        <v>12</v>
      </c>
      <c r="C21" s="45"/>
      <c r="D21" s="45"/>
      <c r="E21" s="45">
        <f>'A9-Estab Costs'!$G$60</f>
        <v>51.740357478833488</v>
      </c>
      <c r="F21" s="45">
        <f>'A9-Estab Costs'!$G$79</f>
        <v>51.740357478833488</v>
      </c>
      <c r="G21" s="45">
        <f>'A10-Full Prod Costs'!$G$9</f>
        <v>51.740357478833488</v>
      </c>
      <c r="H21" s="42"/>
      <c r="I21" s="258"/>
    </row>
    <row r="22" spans="1:11" ht="18">
      <c r="A22" s="43"/>
      <c r="B22" s="53" t="s">
        <v>173</v>
      </c>
      <c r="C22" s="45">
        <f>'A9-Estab Costs'!$G$26</f>
        <v>186.26528692380055</v>
      </c>
      <c r="D22" s="45">
        <f>'A9-Estab Costs'!$G$43</f>
        <v>186.26528692380055</v>
      </c>
      <c r="E22" s="45">
        <f>'A9-Estab Costs'!$G$61</f>
        <v>186.26528692380055</v>
      </c>
      <c r="F22" s="45">
        <f>'A9-Estab Costs'!$G$80</f>
        <v>186.26528692380055</v>
      </c>
      <c r="G22" s="45">
        <f>'A10-Full Prod Costs'!$G$10</f>
        <v>186.26528692380055</v>
      </c>
      <c r="H22" s="42"/>
      <c r="I22" s="258"/>
    </row>
    <row r="23" spans="1:11">
      <c r="A23" s="43"/>
      <c r="B23" s="53" t="s">
        <v>135</v>
      </c>
      <c r="C23" s="45">
        <f>'A9-Estab Costs'!$G$27+'A9-Estab Costs'!$G$28</f>
        <v>149.01222953904045</v>
      </c>
      <c r="D23" s="45">
        <f>'A9-Estab Costs'!$G$44+'A9-Estab Costs'!$G$45</f>
        <v>149.01222953904045</v>
      </c>
      <c r="E23" s="45">
        <f>'A9-Estab Costs'!$G$62+'A9-Estab Costs'!$G$63</f>
        <v>149.01222953904045</v>
      </c>
      <c r="F23" s="45">
        <f>'A9-Estab Costs'!$G$81+'A9-Estab Costs'!$G$82</f>
        <v>149.01222953904045</v>
      </c>
      <c r="G23" s="45">
        <f>'A10-Full Prod Costs'!$G$11+'A10-Full Prod Costs'!$G$12</f>
        <v>149.01222953904045</v>
      </c>
      <c r="H23" s="42"/>
      <c r="I23" s="258"/>
    </row>
    <row r="24" spans="1:11" ht="18">
      <c r="A24" s="43"/>
      <c r="B24" s="52" t="s">
        <v>352</v>
      </c>
      <c r="C24" s="45"/>
      <c r="D24" s="45"/>
      <c r="E24" s="45"/>
      <c r="F24" s="45"/>
      <c r="G24" s="45"/>
      <c r="H24" s="42"/>
      <c r="I24" s="286"/>
    </row>
    <row r="25" spans="1:11">
      <c r="A25" s="43"/>
      <c r="B25" s="53" t="s">
        <v>198</v>
      </c>
      <c r="C25" s="45"/>
      <c r="D25" s="45"/>
      <c r="E25" s="45">
        <f>'A9-Estab Costs'!$G$71</f>
        <v>419.09689557855125</v>
      </c>
      <c r="F25" s="45">
        <f>'A9-Estab Costs'!$G$90</f>
        <v>1005.8325493885229</v>
      </c>
      <c r="G25" s="45">
        <f>'A10-Full Prod Costs'!$G$21</f>
        <v>3855.6914393226716</v>
      </c>
      <c r="H25" s="42"/>
      <c r="I25" s="258"/>
    </row>
    <row r="26" spans="1:11" ht="15" customHeight="1">
      <c r="A26" s="43"/>
      <c r="B26" s="52" t="s">
        <v>17</v>
      </c>
      <c r="C26" s="45"/>
      <c r="D26" s="45"/>
      <c r="E26" s="45"/>
      <c r="F26" s="45"/>
      <c r="G26" s="45"/>
      <c r="H26" s="42"/>
      <c r="I26" s="159"/>
    </row>
    <row r="27" spans="1:11" ht="15" customHeight="1">
      <c r="A27" s="43"/>
      <c r="B27" s="53" t="s">
        <v>131</v>
      </c>
      <c r="C27" s="45">
        <f>'A9-Estab Costs'!$G$30</f>
        <v>103.48071495766698</v>
      </c>
      <c r="D27" s="45">
        <f>'A9-Estab Costs'!$G$47</f>
        <v>129.35089369708373</v>
      </c>
      <c r="E27" s="45">
        <f>'A9-Estab Costs'!$G$65</f>
        <v>155.22107243650046</v>
      </c>
      <c r="F27" s="45">
        <f>'A9-Estab Costs'!$G$84</f>
        <v>175.91721542803384</v>
      </c>
      <c r="G27" s="45">
        <f>'A10-Full Prod Costs'!$G$14</f>
        <v>196.61335841956725</v>
      </c>
      <c r="H27" s="42"/>
      <c r="I27" s="258"/>
    </row>
    <row r="28" spans="1:11" ht="15" customHeight="1">
      <c r="A28" s="43"/>
      <c r="B28" s="53" t="s">
        <v>67</v>
      </c>
      <c r="C28" s="45">
        <f>'A9-Estab Costs'!$G$31</f>
        <v>72.43650047036688</v>
      </c>
      <c r="D28" s="45">
        <f>'A9-Estab Costs'!$G$48</f>
        <v>72.43650047036688</v>
      </c>
      <c r="E28" s="45">
        <f>'A9-Estab Costs'!$G$66</f>
        <v>113.82878645343368</v>
      </c>
      <c r="F28" s="45">
        <f>'A9-Estab Costs'!$G$85</f>
        <v>134.52492944496706</v>
      </c>
      <c r="G28" s="45">
        <f>'A10-Full Prod Costs'!$G$15</f>
        <v>144.87300094073376</v>
      </c>
      <c r="H28" s="42"/>
      <c r="I28" s="258"/>
    </row>
    <row r="29" spans="1:11">
      <c r="A29" s="43"/>
      <c r="B29" s="52" t="s">
        <v>21</v>
      </c>
      <c r="C29" s="45"/>
      <c r="D29" s="45"/>
      <c r="E29" s="45"/>
      <c r="F29" s="45"/>
      <c r="G29" s="45"/>
      <c r="H29" s="42"/>
      <c r="I29" s="159"/>
    </row>
    <row r="30" spans="1:11" ht="18">
      <c r="A30" s="43"/>
      <c r="B30" s="53" t="s">
        <v>353</v>
      </c>
      <c r="C30" s="45">
        <f>SUM(C10:C29)*'A13-Data for tables'!$C$43</f>
        <v>386.55634995296327</v>
      </c>
      <c r="D30" s="45">
        <f>SUM(D10:D29)*'A13-Data for tables'!$C$43</f>
        <v>123.81467544684857</v>
      </c>
      <c r="E30" s="45">
        <f>SUM(E10:E29)*'A13-Data for tables'!$C$43</f>
        <v>176.79680150517402</v>
      </c>
      <c r="F30" s="45">
        <f>SUM(F10:F29)*'A13-Data for tables'!$C$43</f>
        <v>241.73095014111004</v>
      </c>
      <c r="G30" s="45">
        <f>SUM(G10:G29)*'A13-Data for tables'!$C$43</f>
        <v>386.19002822201321</v>
      </c>
      <c r="H30" s="42"/>
      <c r="I30" s="258"/>
    </row>
    <row r="31" spans="1:11" ht="18">
      <c r="A31" s="43"/>
      <c r="B31" s="53" t="s">
        <v>354</v>
      </c>
      <c r="C31" s="45">
        <f>SUM(C10:C30)*'A13-Data for tables'!$C$44*'A13-Data for tables'!$C$46</f>
        <v>405.88416745061147</v>
      </c>
      <c r="D31" s="45">
        <f>SUM(D10:D30)*'A13-Data for tables'!$D$44*'A13-Data for tables'!$D$46</f>
        <v>130.00540921919099</v>
      </c>
      <c r="E31" s="45">
        <f>SUM(E10:E30)*'A13-Data for tables'!$E$44*'A13-Data for tables'!$E$46</f>
        <v>185.63664158043272</v>
      </c>
      <c r="F31" s="45">
        <f>SUM(F10:F30)*'A13-Data for tables'!$F$44*'A13-Data for tables'!$F$46</f>
        <v>253.81749764816556</v>
      </c>
      <c r="G31" s="45">
        <f>SUM(G10:G30)*'A13-Data for tables'!$G$44*'A13-Data for tables'!$G$46</f>
        <v>304.12464722483537</v>
      </c>
      <c r="H31" s="42"/>
      <c r="I31" s="258"/>
      <c r="K31" s="72"/>
    </row>
    <row r="32" spans="1:11">
      <c r="A32" s="43"/>
      <c r="B32" s="53"/>
      <c r="C32" s="45"/>
      <c r="D32" s="45"/>
      <c r="E32" s="45"/>
      <c r="F32" s="45"/>
      <c r="G32" s="45"/>
      <c r="H32" s="42"/>
      <c r="I32" s="260"/>
    </row>
    <row r="33" spans="1:9">
      <c r="A33" s="43"/>
      <c r="B33" s="47" t="s">
        <v>24</v>
      </c>
      <c r="C33" s="49">
        <f>SUM(C10:C31)</f>
        <v>8523.567516462841</v>
      </c>
      <c r="D33" s="49">
        <f>SUM(D10:D31)</f>
        <v>2730.1135936030105</v>
      </c>
      <c r="E33" s="49">
        <f>SUM(E10:E31)</f>
        <v>3898.3694731890869</v>
      </c>
      <c r="F33" s="49">
        <f>SUM(F10:F31)</f>
        <v>5330.1674506114769</v>
      </c>
      <c r="G33" s="49">
        <f>SUM(G10:G31)</f>
        <v>8414.1152398871127</v>
      </c>
      <c r="H33" s="42"/>
      <c r="I33" s="261"/>
    </row>
    <row r="34" spans="1:9">
      <c r="A34" s="43"/>
      <c r="B34" s="47"/>
      <c r="C34" s="50"/>
      <c r="D34" s="50"/>
      <c r="E34" s="50"/>
      <c r="F34" s="46"/>
      <c r="G34" s="55"/>
      <c r="H34" s="42"/>
      <c r="I34" s="262"/>
    </row>
    <row r="35" spans="1:9">
      <c r="A35" s="43"/>
      <c r="B35" s="51" t="s">
        <v>42</v>
      </c>
      <c r="C35" s="42"/>
      <c r="D35" s="42"/>
      <c r="E35" s="42"/>
      <c r="F35" s="42"/>
      <c r="G35" s="45"/>
      <c r="H35" s="42"/>
      <c r="I35" s="68"/>
    </row>
    <row r="36" spans="1:9">
      <c r="A36" s="43"/>
      <c r="B36" s="56" t="s">
        <v>9</v>
      </c>
      <c r="C36" s="45"/>
      <c r="D36" s="45"/>
      <c r="E36" s="45"/>
      <c r="F36" s="45"/>
      <c r="G36" s="45"/>
      <c r="H36" s="42"/>
      <c r="I36" s="68"/>
    </row>
    <row r="37" spans="1:9">
      <c r="A37" s="43"/>
      <c r="B37" s="53" t="s">
        <v>6</v>
      </c>
      <c r="C37" s="45">
        <f>'A6&amp;A7-Int. Costs &amp; Depr.'!$G$18</f>
        <v>103.48071495766698</v>
      </c>
      <c r="D37" s="45">
        <f>'A6&amp;A7-Int. Costs &amp; Depr.'!$G$18</f>
        <v>103.48071495766698</v>
      </c>
      <c r="E37" s="45">
        <f>'A6&amp;A7-Int. Costs &amp; Depr.'!$G$18</f>
        <v>103.48071495766698</v>
      </c>
      <c r="F37" s="45">
        <f>'A6&amp;A7-Int. Costs &amp; Depr.'!$G$18</f>
        <v>103.48071495766698</v>
      </c>
      <c r="G37" s="45">
        <f>'A6&amp;A7-Int. Costs &amp; Depr.'!$G$18</f>
        <v>103.48071495766698</v>
      </c>
      <c r="H37" s="42"/>
      <c r="I37" s="258"/>
    </row>
    <row r="38" spans="1:9">
      <c r="A38" s="43"/>
      <c r="B38" s="245" t="s">
        <v>123</v>
      </c>
      <c r="C38" s="46">
        <f>'A6&amp;A7-Int. Costs &amp; Depr.'!$G$20</f>
        <v>539.76</v>
      </c>
      <c r="D38" s="46">
        <f>'A6&amp;A7-Int. Costs &amp; Depr.'!$G$20</f>
        <v>539.76</v>
      </c>
      <c r="E38" s="46">
        <f>'A6&amp;A7-Int. Costs &amp; Depr.'!$G$20</f>
        <v>539.76</v>
      </c>
      <c r="F38" s="46">
        <f>'A6&amp;A7-Int. Costs &amp; Depr.'!$G$20</f>
        <v>539.76</v>
      </c>
      <c r="G38" s="46">
        <f>'A6&amp;A7-Int. Costs &amp; Depr.'!$G$20</f>
        <v>539.76</v>
      </c>
      <c r="H38" s="42"/>
      <c r="I38" s="258"/>
    </row>
    <row r="39" spans="1:9">
      <c r="A39" s="43"/>
      <c r="B39" s="53" t="s">
        <v>10</v>
      </c>
      <c r="C39" s="45">
        <f>'A6&amp;A7-Int. Costs &amp; Depr.'!$G$19</f>
        <v>93.665362182502335</v>
      </c>
      <c r="D39" s="45">
        <f>'A6&amp;A7-Int. Costs &amp; Depr.'!$G$19</f>
        <v>93.665362182502335</v>
      </c>
      <c r="E39" s="45">
        <f>'A6&amp;A7-Int. Costs &amp; Depr.'!$G$19</f>
        <v>93.665362182502335</v>
      </c>
      <c r="F39" s="45">
        <f>'A6&amp;A7-Int. Costs &amp; Depr.'!$G$19</f>
        <v>93.665362182502335</v>
      </c>
      <c r="G39" s="45">
        <f>'A6&amp;A7-Int. Costs &amp; Depr.'!$G$19</f>
        <v>93.665362182502335</v>
      </c>
      <c r="H39" s="42"/>
      <c r="I39" s="258"/>
    </row>
    <row r="40" spans="1:9">
      <c r="A40" s="43"/>
      <c r="B40" s="52" t="s">
        <v>13</v>
      </c>
      <c r="C40" s="45"/>
      <c r="D40" s="45"/>
      <c r="E40" s="45"/>
      <c r="F40" s="45"/>
      <c r="G40" s="45"/>
      <c r="H40" s="42"/>
      <c r="I40" s="68"/>
    </row>
    <row r="41" spans="1:9">
      <c r="A41" s="43"/>
      <c r="B41" s="53" t="s">
        <v>6</v>
      </c>
      <c r="C41" s="45">
        <f>'A6&amp;A7-Int. Costs &amp; Depr.'!$G$4</f>
        <v>64.675446848541867</v>
      </c>
      <c r="D41" s="45">
        <f>'A6&amp;A7-Int. Costs &amp; Depr.'!$G$4</f>
        <v>64.675446848541867</v>
      </c>
      <c r="E41" s="45">
        <f>'A6&amp;A7-Int. Costs &amp; Depr.'!$G$4</f>
        <v>64.675446848541867</v>
      </c>
      <c r="F41" s="45">
        <f>'A6&amp;A7-Int. Costs &amp; Depr.'!$G$4</f>
        <v>64.675446848541867</v>
      </c>
      <c r="G41" s="45">
        <f>'A6&amp;A7-Int. Costs &amp; Depr.'!$G$4</f>
        <v>64.675446848541867</v>
      </c>
      <c r="H41" s="42"/>
      <c r="I41" s="258"/>
    </row>
    <row r="42" spans="1:9" ht="18">
      <c r="A42" s="43"/>
      <c r="B42" s="53" t="s">
        <v>355</v>
      </c>
      <c r="C42" s="45">
        <f>'A6&amp;A7-Int. Costs &amp; Depr.'!$G$5</f>
        <v>698.49482596425219</v>
      </c>
      <c r="D42" s="45">
        <f>'A6&amp;A7-Int. Costs &amp; Depr.'!$G$5</f>
        <v>698.49482596425219</v>
      </c>
      <c r="E42" s="45">
        <f>'A6&amp;A7-Int. Costs &amp; Depr.'!$G$5</f>
        <v>698.49482596425219</v>
      </c>
      <c r="F42" s="45">
        <f>'A6&amp;A7-Int. Costs &amp; Depr.'!$G$5</f>
        <v>698.49482596425219</v>
      </c>
      <c r="G42" s="45">
        <f>'A6&amp;A7-Int. Costs &amp; Depr.'!$G$5</f>
        <v>698.49482596425219</v>
      </c>
      <c r="H42" s="42"/>
      <c r="I42" s="258"/>
    </row>
    <row r="43" spans="1:9">
      <c r="A43" s="43"/>
      <c r="B43" s="245" t="s">
        <v>123</v>
      </c>
      <c r="C43" s="45">
        <f>'A6&amp;A7-Int. Costs &amp; Depr.'!$G$6</f>
        <v>432.35</v>
      </c>
      <c r="D43" s="45">
        <f>'A6&amp;A7-Int. Costs &amp; Depr.'!$G$6</f>
        <v>432.35</v>
      </c>
      <c r="E43" s="45">
        <f>'A6&amp;A7-Int. Costs &amp; Depr.'!$G$6</f>
        <v>432.35</v>
      </c>
      <c r="F43" s="45">
        <f>'A6&amp;A7-Int. Costs &amp; Depr.'!$G$6</f>
        <v>432.35</v>
      </c>
      <c r="G43" s="45">
        <f>'A6&amp;A7-Int. Costs &amp; Depr.'!$G$6</f>
        <v>432.35</v>
      </c>
      <c r="H43" s="42"/>
      <c r="I43" s="258"/>
    </row>
    <row r="44" spans="1:9">
      <c r="A44" s="43"/>
      <c r="B44" s="53" t="s">
        <v>10</v>
      </c>
      <c r="C44" s="45">
        <f>'A6&amp;A7-Int. Costs &amp; Depr.'!$G$7</f>
        <v>58.540851364063961</v>
      </c>
      <c r="D44" s="45">
        <f>'A6&amp;A7-Int. Costs &amp; Depr.'!$G$7</f>
        <v>58.540851364063961</v>
      </c>
      <c r="E44" s="45">
        <f>'A6&amp;A7-Int. Costs &amp; Depr.'!$G$7</f>
        <v>58.540851364063961</v>
      </c>
      <c r="F44" s="45">
        <f>'A6&amp;A7-Int. Costs &amp; Depr.'!$G$7</f>
        <v>58.540851364063961</v>
      </c>
      <c r="G44" s="45">
        <f>'A6&amp;A7-Int. Costs &amp; Depr.'!$G$7</f>
        <v>58.540851364063961</v>
      </c>
      <c r="H44" s="42"/>
      <c r="I44" s="258"/>
    </row>
    <row r="45" spans="1:9">
      <c r="A45" s="43"/>
      <c r="B45" s="53" t="s">
        <v>72</v>
      </c>
      <c r="C45" s="45"/>
      <c r="D45" s="45">
        <f>C59*'A13-Data for tables'!$C$45</f>
        <v>561.16888076199427</v>
      </c>
      <c r="E45" s="45">
        <f>D59*'A13-Data for tables'!$D$45</f>
        <v>860.7235094190969</v>
      </c>
      <c r="F45" s="45">
        <f>E59*'A13-Data for tables'!$E$45</f>
        <v>1149.2936634883583</v>
      </c>
      <c r="G45" s="45"/>
      <c r="H45" s="42"/>
      <c r="I45" s="258"/>
    </row>
    <row r="46" spans="1:9">
      <c r="A46" s="43"/>
      <c r="B46" s="52" t="s">
        <v>16</v>
      </c>
      <c r="C46" s="45"/>
      <c r="D46" s="45"/>
      <c r="E46" s="45"/>
      <c r="F46" s="45"/>
      <c r="G46" s="45"/>
      <c r="H46" s="42"/>
      <c r="I46" s="68"/>
    </row>
    <row r="47" spans="1:9">
      <c r="A47" s="43"/>
      <c r="B47" s="53" t="s">
        <v>115</v>
      </c>
      <c r="C47" s="45">
        <f>'A9-Estab Costs'!$G$32</f>
        <v>206.96142991533395</v>
      </c>
      <c r="D47" s="45">
        <f>'A9-Estab Costs'!$G$49</f>
        <v>206.96142991533395</v>
      </c>
      <c r="E47" s="45">
        <f>'A9-Estab Costs'!$G$67</f>
        <v>206.96142991533395</v>
      </c>
      <c r="F47" s="45">
        <f>'A9-Estab Costs'!$G$86</f>
        <v>206.96142991533395</v>
      </c>
      <c r="G47" s="45">
        <f>'A10-Full Prod Costs'!$G$16</f>
        <v>206.96142991533395</v>
      </c>
      <c r="H47" s="42"/>
      <c r="I47" s="258"/>
    </row>
    <row r="48" spans="1:9">
      <c r="A48" s="43"/>
      <c r="B48" s="53" t="s">
        <v>61</v>
      </c>
      <c r="C48" s="45">
        <f>'A9-Estab Costs'!G33</f>
        <v>139.69896519285041</v>
      </c>
      <c r="D48" s="45">
        <f>'A9-Estab Costs'!$G$50</f>
        <v>139.69896519285041</v>
      </c>
      <c r="E48" s="45">
        <f>'A9-Estab Costs'!$G$68</f>
        <v>139.69896519285041</v>
      </c>
      <c r="F48" s="45">
        <f>'A9-Estab Costs'!$G$87</f>
        <v>139.69896519285041</v>
      </c>
      <c r="G48" s="45">
        <f>'A10-Full Prod Costs'!$G$17</f>
        <v>139.69896519285041</v>
      </c>
      <c r="H48" s="42"/>
      <c r="I48" s="258"/>
    </row>
    <row r="49" spans="1:9">
      <c r="A49" s="43"/>
      <c r="B49" s="53" t="s">
        <v>18</v>
      </c>
      <c r="C49" s="45">
        <f>'A9-Estab Costs'!G34</f>
        <v>51.740357478833488</v>
      </c>
      <c r="D49" s="45">
        <f>'A9-Estab Costs'!$G$51</f>
        <v>51.740357478833488</v>
      </c>
      <c r="E49" s="45">
        <f>'A9-Estab Costs'!$G$69</f>
        <v>51.740357478833488</v>
      </c>
      <c r="F49" s="45">
        <f>'A9-Estab Costs'!$G$88</f>
        <v>51.740357478833488</v>
      </c>
      <c r="G49" s="45">
        <f>'A10-Full Prod Costs'!$G$18</f>
        <v>51.740357478833488</v>
      </c>
      <c r="H49" s="42"/>
      <c r="I49" s="258"/>
    </row>
    <row r="50" spans="1:9">
      <c r="A50" s="43"/>
      <c r="B50" s="53" t="s">
        <v>19</v>
      </c>
      <c r="C50" s="45">
        <f>'A9-Estab Costs'!G35</f>
        <v>310.44214487300093</v>
      </c>
      <c r="D50" s="45">
        <f>'A9-Estab Costs'!$G$52</f>
        <v>310.44214487300093</v>
      </c>
      <c r="E50" s="45">
        <f>'A9-Estab Costs'!$G$70</f>
        <v>310.44214487300093</v>
      </c>
      <c r="F50" s="45">
        <f>'A9-Estab Costs'!$G$89</f>
        <v>310.44214487300093</v>
      </c>
      <c r="G50" s="45">
        <f>'A10-Full Prod Costs'!$G$19</f>
        <v>310.44214487300093</v>
      </c>
      <c r="H50" s="42"/>
      <c r="I50" s="258"/>
    </row>
    <row r="51" spans="1:9" ht="18">
      <c r="A51" s="43"/>
      <c r="B51" s="53" t="s">
        <v>356</v>
      </c>
      <c r="C51" s="42"/>
      <c r="D51" s="42"/>
      <c r="E51" s="42"/>
      <c r="F51" s="42"/>
      <c r="G51" s="45">
        <f>'A12-Amort Calc'!C7</f>
        <v>2192.8718208696764</v>
      </c>
      <c r="H51" s="42"/>
      <c r="I51" s="258"/>
    </row>
    <row r="52" spans="1:9">
      <c r="A52" s="43"/>
      <c r="B52" s="53"/>
      <c r="C52" s="42"/>
      <c r="D52" s="42"/>
      <c r="E52" s="42"/>
      <c r="F52" s="42"/>
      <c r="G52" s="45"/>
      <c r="H52" s="42"/>
      <c r="I52" s="68"/>
    </row>
    <row r="53" spans="1:9">
      <c r="A53" s="43"/>
      <c r="B53" s="51" t="s">
        <v>20</v>
      </c>
      <c r="C53" s="45">
        <f>SUM(C37:C51)</f>
        <v>2699.8100987770458</v>
      </c>
      <c r="D53" s="45">
        <f>SUM(D37:D51)</f>
        <v>3260.9789795390402</v>
      </c>
      <c r="E53" s="45">
        <f>SUM(E37:E51)</f>
        <v>3560.5336081961427</v>
      </c>
      <c r="F53" s="45">
        <f>SUM(F37:F51)</f>
        <v>3849.1037622654044</v>
      </c>
      <c r="G53" s="45">
        <f>SUM(G37:G51)</f>
        <v>4892.6819196467222</v>
      </c>
      <c r="H53" s="42"/>
      <c r="I53" s="263"/>
    </row>
    <row r="54" spans="1:9">
      <c r="B54" s="42"/>
      <c r="C54" s="42"/>
      <c r="D54" s="42"/>
      <c r="E54" s="42"/>
      <c r="F54" s="42"/>
      <c r="G54" s="42"/>
      <c r="H54" s="42"/>
      <c r="I54" s="159"/>
    </row>
    <row r="55" spans="1:9">
      <c r="A55" s="43"/>
      <c r="B55" s="51" t="s">
        <v>22</v>
      </c>
      <c r="C55" s="49">
        <f>C33+C53</f>
        <v>11223.377615239886</v>
      </c>
      <c r="D55" s="49">
        <f>D33+D53</f>
        <v>5991.0925731420502</v>
      </c>
      <c r="E55" s="49">
        <f>E33+E53</f>
        <v>7458.9030813852296</v>
      </c>
      <c r="F55" s="49">
        <f>F33+F53</f>
        <v>9179.2712128768817</v>
      </c>
      <c r="G55" s="49">
        <f>G33+G53</f>
        <v>13306.797159533835</v>
      </c>
      <c r="H55" s="42"/>
      <c r="I55" s="94"/>
    </row>
    <row r="56" spans="1:9">
      <c r="A56" s="43"/>
      <c r="B56" s="42"/>
      <c r="C56" s="57"/>
      <c r="D56" s="57"/>
      <c r="E56" s="57"/>
      <c r="F56" s="57"/>
      <c r="G56" s="57"/>
      <c r="H56" s="42"/>
      <c r="I56" s="264"/>
    </row>
    <row r="57" spans="1:9" ht="15.75" thickBot="1">
      <c r="A57" s="43"/>
      <c r="B57" s="51" t="s">
        <v>23</v>
      </c>
      <c r="C57" s="86">
        <f>C8-C55</f>
        <v>-11223.377615239886</v>
      </c>
      <c r="D57" s="86">
        <f>D8-D55</f>
        <v>-5991.0925731420502</v>
      </c>
      <c r="E57" s="86">
        <f>E8-E55</f>
        <v>-5771.4030813852296</v>
      </c>
      <c r="F57" s="86">
        <f>F8-F55</f>
        <v>-5129.2712128768817</v>
      </c>
      <c r="G57" s="86">
        <f>G8-G55</f>
        <v>2218.2028404661651</v>
      </c>
      <c r="H57" s="42"/>
      <c r="I57" s="265"/>
    </row>
    <row r="58" spans="1:9" ht="15.75" thickTop="1">
      <c r="A58" s="43"/>
      <c r="B58" s="42"/>
      <c r="C58" s="42"/>
      <c r="D58" s="42"/>
      <c r="E58" s="42"/>
      <c r="F58" s="42"/>
      <c r="G58" s="42"/>
      <c r="H58" s="42"/>
      <c r="I58" s="159"/>
    </row>
    <row r="59" spans="1:9">
      <c r="A59" s="43"/>
      <c r="B59" s="58" t="s">
        <v>25</v>
      </c>
      <c r="C59" s="85">
        <f>C55-C8</f>
        <v>11223.377615239886</v>
      </c>
      <c r="D59" s="85">
        <f>SUM(C55:D55)-SUM(C8:D8)</f>
        <v>17214.470188381936</v>
      </c>
      <c r="E59" s="85">
        <f>SUM(C55:E55)-SUM(C8:E8)</f>
        <v>22985.873269767166</v>
      </c>
      <c r="F59" s="85">
        <f>SUM(C55:F55)-SUM(C8:F8)</f>
        <v>28115.144482644049</v>
      </c>
      <c r="G59" s="59"/>
      <c r="H59" s="42"/>
      <c r="I59" s="266"/>
    </row>
    <row r="60" spans="1:9">
      <c r="A60" s="43"/>
      <c r="B60" s="60" t="s">
        <v>121</v>
      </c>
      <c r="C60" s="95"/>
      <c r="D60" s="95"/>
      <c r="E60" s="95"/>
      <c r="F60" s="95"/>
      <c r="G60" s="96"/>
      <c r="H60" s="42"/>
      <c r="I60" s="313"/>
    </row>
    <row r="61" spans="1:9" s="72" customFormat="1">
      <c r="B61" s="60" t="s">
        <v>240</v>
      </c>
      <c r="C61" s="95"/>
      <c r="D61" s="95"/>
      <c r="E61" s="95"/>
      <c r="F61" s="95"/>
      <c r="G61" s="96"/>
      <c r="H61" s="42"/>
      <c r="I61" s="97"/>
    </row>
    <row r="62" spans="1:9" s="72" customFormat="1">
      <c r="B62" s="60" t="s">
        <v>191</v>
      </c>
      <c r="C62" s="95"/>
      <c r="D62" s="95"/>
      <c r="E62" s="95"/>
      <c r="F62" s="95"/>
      <c r="G62" s="96"/>
      <c r="H62" s="42"/>
      <c r="I62" s="97"/>
    </row>
    <row r="63" spans="1:9" s="72" customFormat="1">
      <c r="B63" s="60" t="s">
        <v>348</v>
      </c>
      <c r="C63" s="42"/>
      <c r="D63" s="42"/>
      <c r="E63" s="42"/>
      <c r="F63" s="42"/>
      <c r="G63" s="42"/>
      <c r="H63" s="42"/>
      <c r="I63" s="42"/>
    </row>
    <row r="64" spans="1:9" s="72" customFormat="1">
      <c r="B64" s="60" t="s">
        <v>357</v>
      </c>
      <c r="C64" s="42"/>
      <c r="D64" s="42"/>
      <c r="E64" s="42"/>
      <c r="F64" s="42"/>
      <c r="G64" s="42"/>
      <c r="H64" s="42"/>
      <c r="I64" s="42"/>
    </row>
    <row r="65" spans="1:10" s="72" customFormat="1">
      <c r="B65" s="60" t="s">
        <v>358</v>
      </c>
      <c r="C65" s="42"/>
      <c r="D65" s="42"/>
      <c r="E65" s="42"/>
      <c r="F65" s="42"/>
      <c r="G65" s="42"/>
      <c r="H65" s="42"/>
      <c r="I65" s="42"/>
    </row>
    <row r="66" spans="1:10" s="72" customFormat="1" ht="12.6" customHeight="1">
      <c r="B66" s="448" t="s">
        <v>359</v>
      </c>
      <c r="C66" s="448"/>
      <c r="D66" s="448"/>
      <c r="E66" s="448"/>
      <c r="F66" s="448"/>
      <c r="G66" s="448"/>
      <c r="H66" s="448"/>
      <c r="I66" s="448"/>
    </row>
    <row r="67" spans="1:10" s="72" customFormat="1" ht="27.75" customHeight="1">
      <c r="B67" s="451" t="s">
        <v>360</v>
      </c>
      <c r="C67" s="451"/>
      <c r="D67" s="451"/>
      <c r="E67" s="451"/>
      <c r="F67" s="451"/>
      <c r="G67" s="451"/>
      <c r="H67" s="451"/>
      <c r="I67" s="451"/>
      <c r="J67" s="410"/>
    </row>
    <row r="68" spans="1:10" s="72" customFormat="1">
      <c r="A68" s="166"/>
      <c r="B68" s="60" t="s">
        <v>361</v>
      </c>
    </row>
    <row r="69" spans="1:10" s="72" customFormat="1">
      <c r="A69" s="166"/>
      <c r="B69" s="60" t="s">
        <v>362</v>
      </c>
    </row>
    <row r="70" spans="1:10" s="72" customFormat="1" ht="27" customHeight="1">
      <c r="A70" s="166"/>
      <c r="B70" s="445" t="s">
        <v>363</v>
      </c>
      <c r="C70" s="445"/>
      <c r="D70" s="445"/>
      <c r="E70" s="445"/>
      <c r="F70" s="445"/>
      <c r="G70" s="445"/>
      <c r="H70" s="445"/>
      <c r="I70" s="445"/>
    </row>
  </sheetData>
  <protectedRanges>
    <protectedRange sqref="C5:G6" name="Est Production and Price"/>
    <protectedRange sqref="I5:I60" name="Your Costs"/>
    <protectedRange sqref="I61" name="Your Costs_1"/>
  </protectedRanges>
  <mergeCells count="6">
    <mergeCell ref="B70:I70"/>
    <mergeCell ref="B2:I2"/>
    <mergeCell ref="C3:F3"/>
    <mergeCell ref="B66:I66"/>
    <mergeCell ref="G3:G4"/>
    <mergeCell ref="B67:I67"/>
  </mergeCells>
  <phoneticPr fontId="21" type="noConversion"/>
  <printOptions gridLines="1"/>
  <pageMargins left="0.25" right="0.25" top="0.25" bottom="0.25" header="0.3" footer="0.3"/>
  <pageSetup scale="64" orientation="portrait" r:id="rId1"/>
  <ignoredErrors>
    <ignoredError sqref="D59" formula="1"/>
    <ignoredError sqref="E6:F6 G6 E5:G5" unlockedFormula="1"/>
  </ignoredError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dimension ref="A2:H18"/>
  <sheetViews>
    <sheetView workbookViewId="0">
      <selection activeCell="E38" sqref="E38"/>
    </sheetView>
  </sheetViews>
  <sheetFormatPr defaultColWidth="9.140625" defaultRowHeight="15"/>
  <cols>
    <col min="1" max="1" width="6.7109375" style="42" customWidth="1"/>
    <col min="2" max="2" width="19.42578125" style="42" customWidth="1"/>
    <col min="3" max="3" width="17.140625" style="42" customWidth="1"/>
    <col min="4" max="4" width="17" style="42" customWidth="1"/>
    <col min="5" max="5" width="15.7109375" style="42" customWidth="1"/>
    <col min="6" max="6" width="16" style="42" customWidth="1"/>
    <col min="7" max="7" width="16.28515625" style="42" customWidth="1"/>
    <col min="8" max="8" width="15.140625" style="42" customWidth="1"/>
    <col min="9" max="16384" width="9.140625" style="42"/>
  </cols>
  <sheetData>
    <row r="2" spans="1:8" ht="42.75" customHeight="1">
      <c r="B2" s="446" t="s">
        <v>375</v>
      </c>
      <c r="C2" s="446"/>
      <c r="D2" s="446"/>
      <c r="E2" s="446"/>
      <c r="F2" s="446"/>
      <c r="G2" s="446"/>
      <c r="H2" s="446"/>
    </row>
    <row r="3" spans="1:8" ht="17.25">
      <c r="A3" s="170"/>
      <c r="B3" s="453" t="s">
        <v>155</v>
      </c>
      <c r="C3" s="452" t="s">
        <v>376</v>
      </c>
      <c r="D3" s="452"/>
      <c r="E3" s="452"/>
      <c r="F3" s="452"/>
      <c r="G3" s="452"/>
      <c r="H3" s="272"/>
    </row>
    <row r="4" spans="1:8">
      <c r="A4" s="170"/>
      <c r="B4" s="454"/>
      <c r="C4" s="274">
        <v>300</v>
      </c>
      <c r="D4" s="274">
        <v>320</v>
      </c>
      <c r="E4" s="274">
        <v>340</v>
      </c>
      <c r="F4" s="274">
        <v>360</v>
      </c>
      <c r="G4" s="274">
        <v>380</v>
      </c>
      <c r="H4" s="274">
        <v>400</v>
      </c>
    </row>
    <row r="5" spans="1:8">
      <c r="A5" s="170"/>
      <c r="B5" s="171">
        <v>20</v>
      </c>
      <c r="C5" s="275">
        <f>$B5*C$4-((SUM('A2-Cider Apple Budget'!$G$15:$G$23,'A2-Cider Apple Budget'!$G$27:$G$29,'A10-Full Prod Costs'!$C$21*$B5))*((1+$C$12)*(1+0.75*$C$13)))-'A2-Cider Apple Budget'!$G$53</f>
        <v>-4932.7180203052367</v>
      </c>
      <c r="D5" s="275">
        <f>$B5*D$4-((SUM('A2-Cider Apple Budget'!$G$15:$G$23,'A2-Cider Apple Budget'!$G$27:$G$29,'A10-Full Prod Costs'!$C$21*$B5))*((1+$C$12)*(1+0.75*$C$13)))-'A2-Cider Apple Budget'!$G$53</f>
        <v>-4532.7180203052367</v>
      </c>
      <c r="E5" s="275">
        <f>$B5*E$4-((SUM('A2-Cider Apple Budget'!$G$15:$G$23,'A2-Cider Apple Budget'!$G$27:$G$29,'A10-Full Prod Costs'!$C$21*$B5))*((1+$C$12)*(1+0.75*$C$13)))-'A2-Cider Apple Budget'!$G$53</f>
        <v>-4132.7180203052367</v>
      </c>
      <c r="F5" s="275">
        <f>$B5*F$4-((SUM('A2-Cider Apple Budget'!$G$15:$G$23,'A2-Cider Apple Budget'!$G$27:$G$29,'A10-Full Prod Costs'!$C$21*$B5))*((1+$C$12)*(1+0.75*$C$13)))-'A2-Cider Apple Budget'!$G$53</f>
        <v>-3732.7180203052367</v>
      </c>
      <c r="G5" s="275">
        <f>$B5*G$4-((SUM('A2-Cider Apple Budget'!$G$15:$G$23,'A2-Cider Apple Budget'!$G$27:$G$29,'A10-Full Prod Costs'!$C$21*$B5))*((1+$C$12)*(1+0.75*$C$13)))-'A2-Cider Apple Budget'!$G$53</f>
        <v>-3332.7180203052367</v>
      </c>
      <c r="H5" s="275">
        <f>$B5*H$4-((SUM('A2-Cider Apple Budget'!$G$15:$G$23,'A2-Cider Apple Budget'!$G$27:$G$29,'A10-Full Prod Costs'!$C$21*$B5))*((1+$C$12)*(1+0.75*$C$13)))-'A2-Cider Apple Budget'!$G$53</f>
        <v>-2932.7180203052367</v>
      </c>
    </row>
    <row r="6" spans="1:8">
      <c r="A6" s="170"/>
      <c r="B6" s="171">
        <v>25</v>
      </c>
      <c r="C6" s="276">
        <f>$B6*C$4-((SUM('A2-Cider Apple Budget'!$G$15:$G$23,'A2-Cider Apple Budget'!$G$27:$G$29,'A10-Full Prod Costs'!$C$21*$B6))*((1+$C$12)*(1+0.75*$C$13)))-'A2-Cider Apple Budget'!$G$53</f>
        <v>-3889.2717009261205</v>
      </c>
      <c r="D6" s="276">
        <f>$B6*D$4-((SUM('A2-Cider Apple Budget'!$G$15:$G$23,'A2-Cider Apple Budget'!$G$27:$G$29,'A10-Full Prod Costs'!$C$21*$B6))*((1+$C$12)*(1+0.75*$C$13)))-'A2-Cider Apple Budget'!$G$53</f>
        <v>-3389.2717009261205</v>
      </c>
      <c r="E6" s="276">
        <f>$B6*E$4-((SUM('A2-Cider Apple Budget'!$G$15:$G$23,'A2-Cider Apple Budget'!$G$27:$G$29,'A10-Full Prod Costs'!$C$21*$B6))*((1+$C$12)*(1+0.75*$C$13)))-'A2-Cider Apple Budget'!$G$53</f>
        <v>-2889.2717009261205</v>
      </c>
      <c r="F6" s="276">
        <f>$B6*F$4-((SUM('A2-Cider Apple Budget'!$G$15:$G$23,'A2-Cider Apple Budget'!$G$27:$G$29,'A10-Full Prod Costs'!$C$21*$B6))*((1+$C$12)*(1+0.75*$C$13)))-'A2-Cider Apple Budget'!$G$53</f>
        <v>-2389.2717009261205</v>
      </c>
      <c r="G6" s="276">
        <f>$B6*G$4-((SUM('A2-Cider Apple Budget'!$G$15:$G$23,'A2-Cider Apple Budget'!$G$27:$G$29,'A10-Full Prod Costs'!$C$21*$B6))*((1+$C$12)*(1+0.75*$C$13)))-'A2-Cider Apple Budget'!$G$53</f>
        <v>-1889.2717009261205</v>
      </c>
      <c r="H6" s="276">
        <f>$B6*H$4-((SUM('A2-Cider Apple Budget'!$G$15:$G$23,'A2-Cider Apple Budget'!$G$27:$G$29,'A10-Full Prod Costs'!$C$21*$B6))*((1+$C$12)*(1+0.75*$C$13)))-'A2-Cider Apple Budget'!$G$53</f>
        <v>-1389.2717009261205</v>
      </c>
    </row>
    <row r="7" spans="1:8" ht="15.95" customHeight="1">
      <c r="B7" s="171">
        <v>30</v>
      </c>
      <c r="C7" s="276">
        <f>$B7*C$4-((SUM('A2-Cider Apple Budget'!$G$15:$G$23,'A2-Cider Apple Budget'!$G$27:$G$29,'A10-Full Prod Costs'!$C$21*$B7))*((1+$C$12)*(1+0.75*$C$13)))-'A2-Cider Apple Budget'!$G$53</f>
        <v>-2845.8253815470061</v>
      </c>
      <c r="D7" s="276">
        <f>$B7*D$4-((SUM('A2-Cider Apple Budget'!$G$15:$G$23,'A2-Cider Apple Budget'!$G$27:$G$29,'A10-Full Prod Costs'!$C$21*$B7))*((1+$C$12)*(1+0.75*$C$13)))-'A2-Cider Apple Budget'!$G$53</f>
        <v>-2245.8253815470061</v>
      </c>
      <c r="E7" s="276">
        <f>$B7*E$4-((SUM('A2-Cider Apple Budget'!$G$15:$G$23,'A2-Cider Apple Budget'!$G$27:$G$29,'A10-Full Prod Costs'!$C$21*$B7))*((1+$C$12)*(1+0.75*$C$13)))-'A2-Cider Apple Budget'!$G$53</f>
        <v>-1645.8253815470061</v>
      </c>
      <c r="F7" s="276">
        <f>$B7*F$4-((SUM('A2-Cider Apple Budget'!$G$15:$G$23,'A2-Cider Apple Budget'!$G$27:$G$29,'A10-Full Prod Costs'!$C$21*$B7))*((1+$C$12)*(1+0.75*$C$13)))-'A2-Cider Apple Budget'!$G$53</f>
        <v>-1045.8253815470061</v>
      </c>
      <c r="G7" s="276">
        <f>$B7*G$4-((SUM('A2-Cider Apple Budget'!$G$15:$G$23,'A2-Cider Apple Budget'!$G$27:$G$29,'A10-Full Prod Costs'!$C$21*$B7))*((1+$C$12)*(1+0.75*$C$13)))-'A2-Cider Apple Budget'!$G$53</f>
        <v>-445.82538154700615</v>
      </c>
      <c r="H7" s="314">
        <f>$B7*H$4-((SUM('A2-Cider Apple Budget'!$G$15:$G$23,'A2-Cider Apple Budget'!$G$27:$G$29,'A10-Full Prod Costs'!$C$21*$B7))*((1+$C$12)*(1+0.75*$C$13)))-'A2-Cider Apple Budget'!$G$53</f>
        <v>154.17461845299385</v>
      </c>
    </row>
    <row r="8" spans="1:8" ht="15.95" customHeight="1">
      <c r="B8" s="171">
        <v>35</v>
      </c>
      <c r="C8" s="276">
        <f>$B8*C$4-((SUM('A2-Cider Apple Budget'!$G$15:$G$23,'A2-Cider Apple Budget'!$G$27:$G$29,'A10-Full Prod Costs'!$C$21*$B8))*((1+$C$12)*(1+0.75*$C$13)))-'A2-Cider Apple Budget'!$G$53</f>
        <v>-1802.3790621678891</v>
      </c>
      <c r="D8" s="276">
        <f>$B8*D$4-((SUM('A2-Cider Apple Budget'!$G$15:$G$23,'A2-Cider Apple Budget'!$G$27:$G$29,'A10-Full Prod Costs'!$C$21*$B8))*((1+$C$12)*(1+0.75*$C$13)))-'A2-Cider Apple Budget'!$G$53</f>
        <v>-1102.3790621678891</v>
      </c>
      <c r="E8" s="276">
        <f>$B8*E$4-((SUM('A2-Cider Apple Budget'!$G$15:$G$23,'A2-Cider Apple Budget'!$G$27:$G$29,'A10-Full Prod Costs'!$C$21*$B8))*((1+$C$12)*(1+0.75*$C$13)))-'A2-Cider Apple Budget'!$G$53</f>
        <v>-402.37906216788906</v>
      </c>
      <c r="F8" s="314">
        <f>$B8*F$4-((SUM('A2-Cider Apple Budget'!$G$15:$G$23,'A2-Cider Apple Budget'!$G$27:$G$29,'A10-Full Prod Costs'!$C$21*$B8))*((1+$C$12)*(1+0.75*$C$13)))-'A2-Cider Apple Budget'!$G$53</f>
        <v>297.62093783211094</v>
      </c>
      <c r="G8" s="314">
        <f>$B8*G$4-((SUM('A2-Cider Apple Budget'!$G$15:$G$23,'A2-Cider Apple Budget'!$G$27:$G$29,'A10-Full Prod Costs'!$C$21*$B8))*((1+$C$12)*(1+0.75*$C$13)))-'A2-Cider Apple Budget'!$G$53</f>
        <v>997.62093783211094</v>
      </c>
      <c r="H8" s="314">
        <f>$B8*H$4-((SUM('A2-Cider Apple Budget'!$G$15:$G$23,'A2-Cider Apple Budget'!$G$27:$G$29,'A10-Full Prod Costs'!$C$21*$B8))*((1+$C$12)*(1+0.75*$C$13)))-'A2-Cider Apple Budget'!$G$53</f>
        <v>1697.6209378321109</v>
      </c>
    </row>
    <row r="9" spans="1:8" ht="15.95" customHeight="1">
      <c r="B9" s="171">
        <v>40</v>
      </c>
      <c r="C9" s="276">
        <f>$B9*C$4-((SUM('A2-Cider Apple Budget'!$G$15:$G$23,'A2-Cider Apple Budget'!$G$27:$G$29,'A10-Full Prod Costs'!$C$21*$B9))*((1+$C$12)*(1+0.75*$C$13)))-'A2-Cider Apple Budget'!$G$53</f>
        <v>-758.9327427887747</v>
      </c>
      <c r="D9" s="314">
        <f>$B9*D$4-((SUM('A2-Cider Apple Budget'!$G$15:$G$23,'A2-Cider Apple Budget'!$G$27:$G$29,'A10-Full Prod Costs'!$C$21*$B9))*((1+$C$12)*(1+0.75*$C$13)))-'A2-Cider Apple Budget'!$G$53</f>
        <v>41.067257211225296</v>
      </c>
      <c r="E9" s="314">
        <f>$B9*E$4-((SUM('A2-Cider Apple Budget'!$G$15:$G$23,'A2-Cider Apple Budget'!$G$27:$G$29,'A10-Full Prod Costs'!$C$21*$B9))*((1+$C$12)*(1+0.75*$C$13)))-'A2-Cider Apple Budget'!$G$53</f>
        <v>841.0672572112253</v>
      </c>
      <c r="F9" s="314">
        <f>$B9*F$4-((SUM('A2-Cider Apple Budget'!$G$15:$G$23,'A2-Cider Apple Budget'!$G$27:$G$29,'A10-Full Prod Costs'!$C$21*$B9))*((1+$C$12)*(1+0.75*$C$13)))-'A2-Cider Apple Budget'!$G$53</f>
        <v>1641.0672572112253</v>
      </c>
      <c r="G9" s="314">
        <f>$B9*G$4-((SUM('A2-Cider Apple Budget'!$G$15:$G$23,'A2-Cider Apple Budget'!$G$27:$G$29,'A10-Full Prod Costs'!$C$21*$B9))*((1+$C$12)*(1+0.75*$C$13)))-'A2-Cider Apple Budget'!$G$53</f>
        <v>2441.0672572112253</v>
      </c>
      <c r="H9" s="314">
        <f>$B9*H$4-((SUM('A2-Cider Apple Budget'!$G$15:$G$23,'A2-Cider Apple Budget'!$G$27:$G$29,'A10-Full Prod Costs'!$C$21*$B9))*((1+$C$12)*(1+0.75*$C$13)))-'A2-Cider Apple Budget'!$G$53</f>
        <v>3241.0672572112253</v>
      </c>
    </row>
    <row r="10" spans="1:8" ht="15.95" customHeight="1">
      <c r="B10" s="171">
        <v>45</v>
      </c>
      <c r="C10" s="314">
        <f>$B10*C$4-((SUM('A2-Cider Apple Budget'!$G$15:$G$23,'A2-Cider Apple Budget'!$G$27:$G$29,'A10-Full Prod Costs'!$C$21*$B10))*((1+$C$12)*(1+0.75*$C$13)))-'A2-Cider Apple Budget'!$G$53</f>
        <v>284.51357659034147</v>
      </c>
      <c r="D10" s="314">
        <f>$B10*D$4-((SUM('A2-Cider Apple Budget'!$G$15:$G$23,'A2-Cider Apple Budget'!$G$27:$G$29,'A10-Full Prod Costs'!$C$21*$B10))*((1+$C$12)*(1+0.75*$C$13)))-'A2-Cider Apple Budget'!$G$53</f>
        <v>1184.5135765903415</v>
      </c>
      <c r="E10" s="314">
        <f>$B10*E$4-((SUM('A2-Cider Apple Budget'!$G$15:$G$23,'A2-Cider Apple Budget'!$G$27:$G$29,'A10-Full Prod Costs'!$C$21*$B10))*((1+$C$12)*(1+0.75*$C$13)))-'A2-Cider Apple Budget'!$G$53</f>
        <v>2084.5135765903415</v>
      </c>
      <c r="F10" s="314">
        <f>$B10*F$4-((SUM('A2-Cider Apple Budget'!$G$15:$G$23,'A2-Cider Apple Budget'!$G$27:$G$29,'A10-Full Prod Costs'!$C$21*$B10))*((1+$C$12)*(1+0.75*$C$13)))-'A2-Cider Apple Budget'!$G$53</f>
        <v>2984.5135765903415</v>
      </c>
      <c r="G10" s="314">
        <f>$B10*G$4-((SUM('A2-Cider Apple Budget'!$G$15:$G$23,'A2-Cider Apple Budget'!$G$27:$G$29,'A10-Full Prod Costs'!$C$21*$B10))*((1+$C$12)*(1+0.75*$C$13)))-'A2-Cider Apple Budget'!$G$53</f>
        <v>3884.5135765903415</v>
      </c>
      <c r="H10" s="314">
        <f>$B10*H$4-((SUM('A2-Cider Apple Budget'!$G$15:$G$23,'A2-Cider Apple Budget'!$G$27:$G$29,'A10-Full Prod Costs'!$C$21*$B10))*((1+$C$12)*(1+0.75*$C$13)))-'A2-Cider Apple Budget'!$G$53</f>
        <v>4784.5135765903415</v>
      </c>
    </row>
    <row r="11" spans="1:8" ht="15.95" customHeight="1">
      <c r="B11" s="285">
        <v>50</v>
      </c>
      <c r="C11" s="315">
        <f>$B11*C$4-((SUM('A2-Cider Apple Budget'!$G$15:$G$23,'A2-Cider Apple Budget'!$G$27:$G$29,'A10-Full Prod Costs'!$C$21*$B11))*((1+$C$12)*(1+0.75*$C$13)))-'A2-Cider Apple Budget'!$G$53</f>
        <v>1327.9598959694576</v>
      </c>
      <c r="D11" s="315">
        <f>$B11*D$4-((SUM('A2-Cider Apple Budget'!$G$15:$G$23,'A2-Cider Apple Budget'!$G$27:$G$29,'A10-Full Prod Costs'!$C$21*$B11))*((1+$C$12)*(1+0.75*$C$13)))-'A2-Cider Apple Budget'!$G$53</f>
        <v>2327.9598959694576</v>
      </c>
      <c r="E11" s="315">
        <f>$B11*E$4-((SUM('A2-Cider Apple Budget'!$G$15:$G$23,'A2-Cider Apple Budget'!$G$27:$G$29,'A10-Full Prod Costs'!$C$21*$B11))*((1+$C$12)*(1+0.75*$C$13)))-'A2-Cider Apple Budget'!$G$53</f>
        <v>3327.9598959694576</v>
      </c>
      <c r="F11" s="315">
        <f>$B11*F$4-((SUM('A2-Cider Apple Budget'!$G$15:$G$23,'A2-Cider Apple Budget'!$G$27:$G$29,'A10-Full Prod Costs'!$C$21*$B11))*((1+$C$12)*(1+0.75*$C$13)))-'A2-Cider Apple Budget'!$G$53</f>
        <v>4327.9598959694576</v>
      </c>
      <c r="G11" s="315">
        <f>$B11*G$4-((SUM('A2-Cider Apple Budget'!$G$15:$G$23,'A2-Cider Apple Budget'!$G$27:$G$29,'A10-Full Prod Costs'!$C$21*$B11))*((1+$C$12)*(1+0.75*$C$13)))-'A2-Cider Apple Budget'!$G$53</f>
        <v>5327.9598959694576</v>
      </c>
      <c r="H11" s="315">
        <f>$B11*H$4-((SUM('A2-Cider Apple Budget'!$G$15:$G$23,'A2-Cider Apple Budget'!$G$27:$G$29,'A10-Full Prod Costs'!$C$21*$B11))*((1+$C$12)*(1+0.75*$C$13)))-'A2-Cider Apple Budget'!$G$53</f>
        <v>6327.9598959694576</v>
      </c>
    </row>
    <row r="12" spans="1:8" ht="15.95" customHeight="1">
      <c r="B12" s="172" t="s">
        <v>74</v>
      </c>
      <c r="C12" s="173">
        <f>'A13-Data for tables'!$G$43</f>
        <v>0.05</v>
      </c>
      <c r="D12" s="55"/>
      <c r="E12" s="55"/>
      <c r="F12" s="55"/>
      <c r="G12" s="55"/>
    </row>
    <row r="13" spans="1:8" ht="15.95" customHeight="1">
      <c r="B13" s="174" t="s">
        <v>75</v>
      </c>
      <c r="C13" s="175">
        <f>'A13-Data for tables'!$G$44</f>
        <v>0.05</v>
      </c>
      <c r="D13" s="176"/>
      <c r="E13" s="176"/>
      <c r="F13" s="176"/>
      <c r="G13" s="176"/>
      <c r="H13" s="273"/>
    </row>
    <row r="14" spans="1:8" ht="15.95" customHeight="1">
      <c r="B14" s="177" t="s">
        <v>121</v>
      </c>
      <c r="C14" s="173"/>
      <c r="D14" s="55"/>
      <c r="E14" s="55"/>
      <c r="F14" s="55"/>
      <c r="G14" s="55"/>
    </row>
    <row r="15" spans="1:8" ht="15.95" customHeight="1">
      <c r="B15" s="177" t="s">
        <v>122</v>
      </c>
      <c r="C15" s="173"/>
      <c r="D15" s="55"/>
      <c r="E15" s="55"/>
      <c r="F15" s="55"/>
      <c r="G15" s="55"/>
    </row>
    <row r="16" spans="1:8">
      <c r="B16" s="60" t="s">
        <v>192</v>
      </c>
    </row>
    <row r="17" spans="2:7">
      <c r="B17" s="60" t="s">
        <v>185</v>
      </c>
      <c r="F17" s="271"/>
    </row>
    <row r="18" spans="2:7">
      <c r="B18" s="60" t="s">
        <v>377</v>
      </c>
      <c r="G18" s="178"/>
    </row>
  </sheetData>
  <protectedRanges>
    <protectedRange sqref="C12:C15 C4:H4 B5:B11" name="Price and Yield"/>
  </protectedRanges>
  <mergeCells count="3">
    <mergeCell ref="C3:G3"/>
    <mergeCell ref="B3:B4"/>
    <mergeCell ref="B2:H2"/>
  </mergeCells>
  <phoneticPr fontId="21"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N32"/>
  <sheetViews>
    <sheetView workbookViewId="0">
      <selection activeCell="B21" sqref="B21"/>
    </sheetView>
  </sheetViews>
  <sheetFormatPr defaultColWidth="9.140625" defaultRowHeight="15"/>
  <cols>
    <col min="1" max="1" width="6.7109375" style="3" customWidth="1"/>
    <col min="2" max="2" width="29.85546875" style="3" customWidth="1"/>
    <col min="3" max="3" width="13.7109375" style="3" customWidth="1"/>
    <col min="4" max="6" width="12.7109375" style="3" customWidth="1"/>
    <col min="7" max="7" width="14.28515625" style="3" customWidth="1"/>
    <col min="8" max="8" width="3.85546875" style="3" customWidth="1"/>
    <col min="9" max="14" width="9.140625" style="14"/>
    <col min="15" max="16384" width="9.140625" style="3"/>
  </cols>
  <sheetData>
    <row r="2" spans="1:9" ht="39.75" customHeight="1">
      <c r="B2" s="455" t="s">
        <v>378</v>
      </c>
      <c r="C2" s="455"/>
      <c r="D2" s="455"/>
      <c r="E2" s="455"/>
      <c r="F2" s="455"/>
      <c r="G2" s="455"/>
    </row>
    <row r="3" spans="1:9" ht="18" customHeight="1">
      <c r="A3" s="12"/>
      <c r="B3" s="13"/>
      <c r="C3" s="447" t="s">
        <v>0</v>
      </c>
      <c r="D3" s="447"/>
      <c r="E3" s="447"/>
      <c r="F3" s="447"/>
      <c r="G3" s="456" t="s">
        <v>156</v>
      </c>
    </row>
    <row r="4" spans="1:9">
      <c r="A4" s="12"/>
      <c r="B4" s="5"/>
      <c r="C4" s="161" t="s">
        <v>1</v>
      </c>
      <c r="D4" s="161" t="s">
        <v>2</v>
      </c>
      <c r="E4" s="161" t="s">
        <v>3</v>
      </c>
      <c r="F4" s="161" t="s">
        <v>4</v>
      </c>
      <c r="G4" s="457"/>
      <c r="I4" s="99"/>
    </row>
    <row r="5" spans="1:9">
      <c r="A5" s="12"/>
      <c r="B5" s="8" t="s">
        <v>109</v>
      </c>
      <c r="C5" s="2"/>
      <c r="D5" s="2"/>
      <c r="E5" s="2"/>
      <c r="F5" s="2"/>
      <c r="G5" s="2"/>
    </row>
    <row r="6" spans="1:9">
      <c r="B6" s="9" t="s">
        <v>186</v>
      </c>
      <c r="C6" s="15">
        <f>'A9-Estab Costs'!H6</f>
        <v>139698.96519285042</v>
      </c>
      <c r="D6" s="15"/>
      <c r="E6" s="15"/>
      <c r="F6" s="15"/>
    </row>
    <row r="7" spans="1:9">
      <c r="B7" s="9" t="s">
        <v>5</v>
      </c>
      <c r="C7" s="15">
        <f>'A9-Estab Costs'!H14</f>
        <v>21074.706491063025</v>
      </c>
      <c r="D7" s="15"/>
      <c r="E7" s="15"/>
      <c r="F7" s="15"/>
    </row>
    <row r="8" spans="1:9">
      <c r="B8" s="9" t="s">
        <v>6</v>
      </c>
      <c r="C8" s="15">
        <f>'A9-Estab Costs'!H17</f>
        <v>23283.160865475067</v>
      </c>
      <c r="D8" s="15"/>
      <c r="E8" s="15"/>
      <c r="F8" s="15"/>
    </row>
    <row r="9" spans="1:9">
      <c r="B9" s="9" t="s">
        <v>7</v>
      </c>
      <c r="C9" s="15">
        <f>'A9-Estab Costs'!H20</f>
        <v>0</v>
      </c>
      <c r="D9" s="15"/>
      <c r="E9" s="15"/>
      <c r="F9" s="15"/>
    </row>
    <row r="10" spans="1:9" ht="18">
      <c r="B10" s="9" t="s">
        <v>194</v>
      </c>
      <c r="C10" s="15">
        <f>('A2-Cider Apple Budget'!C33+'A2-Cider Apple Budget'!C47+'A2-Cider Apple Budget'!C48+'A2-Cider Apple Budget'!C49+'A2-Cider Apple Budget'!C50)*'A9-Estab Costs'!$L$5</f>
        <v>83091.69372530574</v>
      </c>
      <c r="D10" s="15">
        <f>('A2-Cider Apple Budget'!D33+'A2-Cider Apple Budget'!D47+'A2-Cider Apple Budget'!D48+'A2-Cider Apple Budget'!D49+'A2-Cider Apple Budget'!D50)*'A9-Estab Costs'!$L$5</f>
        <v>30950.608419567263</v>
      </c>
      <c r="E10" s="15">
        <f>('A2-Cider Apple Budget'!E33+'A2-Cider Apple Budget'!E47+'A2-Cider Apple Budget'!E48+'A2-Cider Apple Budget'!E49+'A2-Cider Apple Budget'!E50)*'A9-Estab Costs'!$L$5</f>
        <v>41464.911335841949</v>
      </c>
      <c r="F10" s="15">
        <f>('A2-Cider Apple Budget'!F33+'A2-Cider Apple Budget'!F47+'A2-Cider Apple Budget'!F48+'A2-Cider Apple Budget'!F49+'A2-Cider Apple Budget'!F50)*'A9-Estab Costs'!$L$5</f>
        <v>54351.093132643458</v>
      </c>
      <c r="G10" s="15">
        <f>('A2-Cider Apple Budget'!G33+'A2-Cider Apple Budget'!G47+'A2-Cider Apple Budget'!G48+'A2-Cider Apple Budget'!G49+'A2-Cider Apple Budget'!G50)*'A10-Full Prod Costs'!$L$4</f>
        <v>82106.623236124185</v>
      </c>
    </row>
    <row r="11" spans="1:9">
      <c r="B11" s="16" t="s">
        <v>110</v>
      </c>
      <c r="C11" s="17">
        <f>SUM(C6:C10)</f>
        <v>267148.52627469425</v>
      </c>
      <c r="D11" s="17">
        <f>SUM(D6:D10)</f>
        <v>30950.608419567263</v>
      </c>
      <c r="E11" s="17">
        <f>SUM(E6:E10)</f>
        <v>41464.911335841949</v>
      </c>
      <c r="F11" s="17">
        <f>SUM(F6:F10)</f>
        <v>54351.093132643458</v>
      </c>
      <c r="G11" s="17">
        <f>SUM(G6:G10)</f>
        <v>82106.623236124185</v>
      </c>
    </row>
    <row r="12" spans="1:9">
      <c r="D12" s="17"/>
      <c r="E12" s="17"/>
      <c r="F12" s="17"/>
      <c r="G12" s="17"/>
    </row>
    <row r="13" spans="1:9">
      <c r="B13" s="16" t="s">
        <v>111</v>
      </c>
      <c r="C13" s="17">
        <f>'A2-Cider Apple Budget'!C8*'A9-Estab Costs'!$L$5</f>
        <v>0</v>
      </c>
      <c r="D13" s="17">
        <f>'A2-Cider Apple Budget'!D8*'A9-Estab Costs'!$L$5</f>
        <v>0</v>
      </c>
      <c r="E13" s="17">
        <f>'A2-Cider Apple Budget'!E8*'A9-Estab Costs'!$L$5</f>
        <v>15187.5</v>
      </c>
      <c r="F13" s="17">
        <f>'A2-Cider Apple Budget'!F8*'A9-Estab Costs'!$L$5</f>
        <v>36450</v>
      </c>
      <c r="G13" s="17">
        <f>'A2-Cider Apple Budget'!G8*'A9-Estab Costs'!$L$5</f>
        <v>139725</v>
      </c>
    </row>
    <row r="14" spans="1:9">
      <c r="D14" s="17"/>
      <c r="E14" s="17"/>
      <c r="F14" s="17"/>
      <c r="G14" s="17"/>
    </row>
    <row r="15" spans="1:9">
      <c r="B15" s="10" t="s">
        <v>112</v>
      </c>
      <c r="C15" s="18">
        <f>C11-C13</f>
        <v>267148.52627469425</v>
      </c>
      <c r="D15" s="18">
        <f>D11-D13</f>
        <v>30950.608419567263</v>
      </c>
      <c r="E15" s="18">
        <f>E11-E13</f>
        <v>26277.411335841949</v>
      </c>
      <c r="F15" s="18">
        <f>F11-F13</f>
        <v>17901.093132643458</v>
      </c>
      <c r="G15" s="18">
        <f>G11-G13</f>
        <v>-57618.376763875815</v>
      </c>
    </row>
    <row r="16" spans="1:9">
      <c r="B16" s="11" t="s">
        <v>121</v>
      </c>
    </row>
    <row r="17" spans="2:14" ht="16.5">
      <c r="B17" s="60" t="s">
        <v>340</v>
      </c>
      <c r="F17" s="20"/>
    </row>
    <row r="18" spans="2:14" ht="27" customHeight="1">
      <c r="B18" s="451" t="s">
        <v>193</v>
      </c>
      <c r="C18" s="451"/>
      <c r="D18" s="451"/>
      <c r="E18" s="451"/>
      <c r="F18" s="451"/>
      <c r="G18" s="451"/>
    </row>
    <row r="19" spans="2:14" ht="27" customHeight="1">
      <c r="B19" s="458" t="s">
        <v>187</v>
      </c>
      <c r="C19" s="458"/>
      <c r="D19" s="458"/>
      <c r="E19" s="458"/>
      <c r="F19" s="458"/>
      <c r="G19" s="458"/>
      <c r="H19" s="458"/>
    </row>
    <row r="20" spans="2:14" ht="13.15" customHeight="1">
      <c r="B20" s="167" t="s">
        <v>382</v>
      </c>
      <c r="F20" s="19"/>
      <c r="G20" s="19"/>
    </row>
    <row r="21" spans="2:14">
      <c r="F21" s="1"/>
    </row>
    <row r="22" spans="2:14">
      <c r="F22" s="7"/>
      <c r="G22" s="6"/>
    </row>
    <row r="23" spans="2:14">
      <c r="F23" s="7"/>
      <c r="G23" s="6"/>
    </row>
    <row r="24" spans="2:14" s="277" customFormat="1">
      <c r="B24" s="279"/>
      <c r="C24" s="280"/>
      <c r="D24" s="280"/>
      <c r="E24" s="280"/>
      <c r="F24" s="281"/>
      <c r="G24" s="282"/>
      <c r="I24" s="278"/>
      <c r="J24" s="278"/>
      <c r="K24" s="278"/>
      <c r="L24" s="278"/>
      <c r="M24" s="278"/>
      <c r="N24" s="278"/>
    </row>
    <row r="25" spans="2:14">
      <c r="F25" s="7"/>
      <c r="G25" s="6"/>
      <c r="H25" s="1"/>
    </row>
    <row r="26" spans="2:14">
      <c r="F26" s="7"/>
      <c r="G26" s="6"/>
    </row>
    <row r="27" spans="2:14">
      <c r="F27" s="7"/>
      <c r="G27" s="6"/>
    </row>
    <row r="28" spans="2:14">
      <c r="F28" s="7"/>
      <c r="G28" s="6"/>
    </row>
    <row r="29" spans="2:14">
      <c r="F29" s="7"/>
      <c r="G29" s="6"/>
    </row>
    <row r="30" spans="2:14">
      <c r="F30" s="7"/>
      <c r="G30" s="7"/>
    </row>
    <row r="31" spans="2:14">
      <c r="F31" s="7"/>
      <c r="G31" s="7"/>
    </row>
    <row r="32" spans="2:14">
      <c r="F32" s="1"/>
    </row>
  </sheetData>
  <mergeCells count="5">
    <mergeCell ref="B2:G2"/>
    <mergeCell ref="C3:F3"/>
    <mergeCell ref="G3:G4"/>
    <mergeCell ref="B18:G18"/>
    <mergeCell ref="B19:H19"/>
  </mergeCells>
  <phoneticPr fontId="21"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pageSetUpPr fitToPage="1"/>
  </sheetPr>
  <dimension ref="B2:H28"/>
  <sheetViews>
    <sheetView workbookViewId="0">
      <selection activeCell="D14" sqref="D14"/>
    </sheetView>
  </sheetViews>
  <sheetFormatPr defaultColWidth="9.140625" defaultRowHeight="15"/>
  <cols>
    <col min="1" max="1" width="9.140625" style="21"/>
    <col min="2" max="2" width="25.7109375" style="4" customWidth="1"/>
    <col min="3" max="3" width="21.42578125" style="4" customWidth="1"/>
    <col min="4" max="6" width="16.7109375" style="4" customWidth="1"/>
    <col min="7" max="7" width="9.140625" style="4"/>
    <col min="8" max="16384" width="9.140625" style="21"/>
  </cols>
  <sheetData>
    <row r="2" spans="2:8" ht="39" customHeight="1">
      <c r="B2" s="459" t="s">
        <v>379</v>
      </c>
      <c r="C2" s="459"/>
      <c r="D2" s="459"/>
      <c r="E2" s="459"/>
      <c r="F2" s="459"/>
      <c r="G2" s="19"/>
    </row>
    <row r="3" spans="2:8" s="378" customFormat="1" ht="30.75">
      <c r="B3" s="375"/>
      <c r="C3" s="376" t="s">
        <v>221</v>
      </c>
      <c r="D3" s="225" t="s">
        <v>297</v>
      </c>
      <c r="E3" s="225" t="s">
        <v>60</v>
      </c>
      <c r="F3" s="225" t="s">
        <v>117</v>
      </c>
      <c r="G3" s="277"/>
      <c r="H3" s="377"/>
    </row>
    <row r="4" spans="2:8">
      <c r="B4" s="229" t="s">
        <v>220</v>
      </c>
      <c r="C4" s="229" t="s">
        <v>222</v>
      </c>
      <c r="D4" s="149">
        <v>25000</v>
      </c>
      <c r="E4" s="150">
        <v>1</v>
      </c>
      <c r="F4" s="25">
        <f t="shared" ref="F4:F14" si="0">D4*E4</f>
        <v>25000</v>
      </c>
      <c r="G4" s="3"/>
      <c r="H4" s="226"/>
    </row>
    <row r="5" spans="2:8">
      <c r="B5" s="229" t="s">
        <v>219</v>
      </c>
      <c r="C5" s="229" t="s">
        <v>223</v>
      </c>
      <c r="D5" s="149">
        <v>4500</v>
      </c>
      <c r="E5" s="150">
        <v>1</v>
      </c>
      <c r="F5" s="25">
        <f t="shared" si="0"/>
        <v>4500</v>
      </c>
      <c r="G5" s="3"/>
      <c r="H5" s="226"/>
    </row>
    <row r="6" spans="2:8">
      <c r="B6" s="229" t="s">
        <v>224</v>
      </c>
      <c r="C6" s="229"/>
      <c r="D6" s="149">
        <v>4000</v>
      </c>
      <c r="E6" s="150">
        <v>1</v>
      </c>
      <c r="F6" s="25">
        <f t="shared" si="0"/>
        <v>4000</v>
      </c>
      <c r="G6" s="3"/>
      <c r="H6" s="226"/>
    </row>
    <row r="7" spans="2:8">
      <c r="B7" s="229" t="s">
        <v>225</v>
      </c>
      <c r="C7" s="229" t="s">
        <v>226</v>
      </c>
      <c r="D7" s="149">
        <v>3500</v>
      </c>
      <c r="E7" s="150">
        <v>1</v>
      </c>
      <c r="F7" s="25">
        <f t="shared" si="0"/>
        <v>3500</v>
      </c>
      <c r="G7" s="3"/>
      <c r="H7" s="226"/>
    </row>
    <row r="8" spans="2:8">
      <c r="B8" s="229" t="s">
        <v>227</v>
      </c>
      <c r="C8" s="229" t="s">
        <v>228</v>
      </c>
      <c r="D8" s="149">
        <v>22000</v>
      </c>
      <c r="E8" s="150">
        <v>1</v>
      </c>
      <c r="F8" s="25">
        <f t="shared" si="0"/>
        <v>22000</v>
      </c>
      <c r="G8" s="3"/>
      <c r="H8" s="226"/>
    </row>
    <row r="9" spans="2:8">
      <c r="B9" s="229" t="s">
        <v>229</v>
      </c>
      <c r="C9" s="229" t="s">
        <v>230</v>
      </c>
      <c r="D9" s="149">
        <v>30000</v>
      </c>
      <c r="E9" s="150">
        <v>1</v>
      </c>
      <c r="F9" s="25">
        <f t="shared" si="0"/>
        <v>30000</v>
      </c>
      <c r="G9" s="3"/>
      <c r="H9" s="226"/>
    </row>
    <row r="10" spans="2:8">
      <c r="B10" s="229" t="s">
        <v>231</v>
      </c>
      <c r="C10" s="229" t="s">
        <v>232</v>
      </c>
      <c r="D10" s="149">
        <v>6000</v>
      </c>
      <c r="E10" s="150">
        <v>1</v>
      </c>
      <c r="F10" s="25">
        <f t="shared" si="0"/>
        <v>6000</v>
      </c>
      <c r="G10" s="3"/>
      <c r="H10" s="226"/>
    </row>
    <row r="11" spans="2:8">
      <c r="B11" s="229" t="s">
        <v>233</v>
      </c>
      <c r="C11" s="229" t="s">
        <v>234</v>
      </c>
      <c r="D11" s="149">
        <v>120</v>
      </c>
      <c r="E11" s="150">
        <v>2</v>
      </c>
      <c r="F11" s="25">
        <f t="shared" si="0"/>
        <v>240</v>
      </c>
      <c r="G11" s="3"/>
      <c r="H11" s="226"/>
    </row>
    <row r="12" spans="2:8">
      <c r="B12" s="229" t="s">
        <v>235</v>
      </c>
      <c r="C12" s="229"/>
      <c r="D12" s="149">
        <v>6600</v>
      </c>
      <c r="E12" s="150">
        <v>1</v>
      </c>
      <c r="F12" s="25">
        <f>D12*E12</f>
        <v>6600</v>
      </c>
      <c r="G12" s="3"/>
      <c r="H12" s="226"/>
    </row>
    <row r="13" spans="2:8" ht="18">
      <c r="B13" s="230" t="s">
        <v>298</v>
      </c>
      <c r="C13" s="230" t="s">
        <v>236</v>
      </c>
      <c r="D13" s="151">
        <v>350</v>
      </c>
      <c r="E13" s="152">
        <v>46</v>
      </c>
      <c r="F13" s="148">
        <f t="shared" si="0"/>
        <v>16100</v>
      </c>
      <c r="G13" s="3"/>
      <c r="H13" s="226"/>
    </row>
    <row r="14" spans="2:8" ht="18">
      <c r="B14" s="230" t="s">
        <v>299</v>
      </c>
      <c r="C14" s="230"/>
      <c r="D14" s="151">
        <v>6000</v>
      </c>
      <c r="E14" s="152">
        <v>1</v>
      </c>
      <c r="F14" s="148">
        <f t="shared" si="0"/>
        <v>6000</v>
      </c>
      <c r="G14" s="3"/>
      <c r="H14" s="226"/>
    </row>
    <row r="15" spans="2:8" ht="18">
      <c r="B15" s="230" t="s">
        <v>300</v>
      </c>
      <c r="C15" s="230"/>
      <c r="D15" s="151">
        <v>30000</v>
      </c>
      <c r="E15" s="152">
        <v>1</v>
      </c>
      <c r="F15" s="148">
        <f>D15*E15</f>
        <v>30000</v>
      </c>
      <c r="G15" s="3"/>
      <c r="H15" s="226"/>
    </row>
    <row r="16" spans="2:8">
      <c r="B16" s="227" t="s">
        <v>45</v>
      </c>
      <c r="C16" s="310"/>
      <c r="D16" s="231"/>
      <c r="E16" s="232"/>
      <c r="F16" s="228">
        <f>SUM(F4:F15)</f>
        <v>153940</v>
      </c>
      <c r="G16" s="3"/>
      <c r="H16" s="226"/>
    </row>
    <row r="17" spans="2:8">
      <c r="B17" s="60" t="s">
        <v>121</v>
      </c>
      <c r="C17" s="60"/>
      <c r="D17" s="3"/>
      <c r="E17" s="3"/>
      <c r="F17" s="3"/>
      <c r="G17" s="3"/>
      <c r="H17" s="226"/>
    </row>
    <row r="18" spans="2:8">
      <c r="B18" s="60" t="s">
        <v>301</v>
      </c>
      <c r="C18" s="60"/>
      <c r="D18" s="3"/>
      <c r="E18" s="3"/>
      <c r="F18" s="3"/>
      <c r="G18" s="3"/>
      <c r="H18" s="226"/>
    </row>
    <row r="19" spans="2:8">
      <c r="B19" s="60" t="s">
        <v>302</v>
      </c>
      <c r="C19" s="60"/>
      <c r="D19" s="3"/>
      <c r="E19" s="3"/>
      <c r="F19" s="3"/>
      <c r="G19" s="3"/>
      <c r="H19" s="226"/>
    </row>
    <row r="20" spans="2:8">
      <c r="B20" s="60" t="s">
        <v>303</v>
      </c>
      <c r="C20" s="60"/>
      <c r="D20" s="3"/>
      <c r="E20" s="3"/>
      <c r="F20" s="3"/>
      <c r="G20" s="3"/>
      <c r="H20" s="226"/>
    </row>
    <row r="21" spans="2:8">
      <c r="B21" s="60" t="s">
        <v>304</v>
      </c>
      <c r="C21" s="60"/>
      <c r="D21" s="3"/>
      <c r="E21" s="3"/>
      <c r="F21" s="3"/>
      <c r="G21" s="3"/>
      <c r="H21" s="226"/>
    </row>
    <row r="23" spans="2:8">
      <c r="B23" s="21"/>
      <c r="C23" s="21"/>
    </row>
    <row r="28" spans="2:8">
      <c r="B28" s="23"/>
      <c r="C28" s="23"/>
    </row>
  </sheetData>
  <protectedRanges>
    <protectedRange sqref="D4:E15" name="Price and No. of Units_1_2_1"/>
  </protectedRanges>
  <mergeCells count="1">
    <mergeCell ref="B2:F2"/>
  </mergeCells>
  <phoneticPr fontId="21" type="noConversion"/>
  <pageMargins left="0.7" right="0.7" top="0.75" bottom="0.75" header="0.3" footer="0.3"/>
  <pageSetup scale="84" orientation="portrait" horizontalDpi="4294967293" verticalDpi="4294967293"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dimension ref="B2:K23"/>
  <sheetViews>
    <sheetView topLeftCell="B2" workbookViewId="0">
      <selection activeCell="B11" sqref="B11:G11"/>
    </sheetView>
  </sheetViews>
  <sheetFormatPr defaultColWidth="9.140625" defaultRowHeight="15"/>
  <cols>
    <col min="1" max="1" width="6.7109375" style="4" customWidth="1"/>
    <col min="2" max="2" width="33.42578125" style="4" customWidth="1"/>
    <col min="3" max="3" width="15.42578125" style="4" customWidth="1"/>
    <col min="4" max="4" width="14.42578125" style="4" customWidth="1"/>
    <col min="5" max="5" width="16.42578125" style="4" customWidth="1"/>
    <col min="6" max="6" width="14.42578125" style="4" customWidth="1"/>
    <col min="7" max="7" width="17.7109375" style="4" customWidth="1"/>
    <col min="8" max="8" width="5.140625" style="4" customWidth="1"/>
    <col min="9" max="9" width="30.140625" style="4" customWidth="1"/>
    <col min="10" max="12" width="9.140625" style="4"/>
    <col min="13" max="13" width="10.42578125" style="4" bestFit="1" customWidth="1"/>
    <col min="14" max="16384" width="9.140625" style="4"/>
  </cols>
  <sheetData>
    <row r="2" spans="2:11" ht="39.75" customHeight="1">
      <c r="B2" s="459" t="s">
        <v>383</v>
      </c>
      <c r="C2" s="459"/>
      <c r="D2" s="459"/>
      <c r="E2" s="459"/>
      <c r="F2" s="459"/>
      <c r="G2" s="459"/>
      <c r="H2" s="24"/>
    </row>
    <row r="3" spans="2:11" s="381" customFormat="1" ht="30.75">
      <c r="B3" s="379"/>
      <c r="C3" s="380" t="s">
        <v>37</v>
      </c>
      <c r="D3" s="380" t="s">
        <v>157</v>
      </c>
      <c r="E3" s="380" t="s">
        <v>31</v>
      </c>
      <c r="F3" s="380" t="s">
        <v>293</v>
      </c>
      <c r="G3" s="380" t="s">
        <v>324</v>
      </c>
    </row>
    <row r="4" spans="2:11" ht="18">
      <c r="B4" s="3" t="s">
        <v>158</v>
      </c>
      <c r="C4" s="25">
        <f>'A9-Estab Costs'!$H$17</f>
        <v>23283.160865475067</v>
      </c>
      <c r="D4" s="25">
        <v>0</v>
      </c>
      <c r="E4" s="38">
        <f>$J$5</f>
        <v>9</v>
      </c>
      <c r="F4" s="22">
        <f>((C4+D4)/2)*$C$8</f>
        <v>582.07902163687675</v>
      </c>
      <c r="G4" s="26">
        <f>F4/E4</f>
        <v>64.675446848541867</v>
      </c>
      <c r="H4" s="27"/>
      <c r="I4" s="32" t="s">
        <v>238</v>
      </c>
      <c r="J4" s="250">
        <v>10</v>
      </c>
      <c r="K4" s="37"/>
    </row>
    <row r="5" spans="2:11">
      <c r="B5" s="3" t="s">
        <v>15</v>
      </c>
      <c r="C5" s="25">
        <f>'A9-Estab Costs'!$H$6</f>
        <v>139698.96519285042</v>
      </c>
      <c r="D5" s="25" t="s">
        <v>138</v>
      </c>
      <c r="E5" s="38">
        <f>$J$4</f>
        <v>10</v>
      </c>
      <c r="F5" s="22">
        <f>C5*$C$8</f>
        <v>6984.9482596425214</v>
      </c>
      <c r="G5" s="26">
        <f>F5/E5</f>
        <v>698.49482596425219</v>
      </c>
      <c r="I5" s="32" t="s">
        <v>239</v>
      </c>
      <c r="J5" s="250">
        <v>9</v>
      </c>
      <c r="K5" s="37"/>
    </row>
    <row r="6" spans="2:11" ht="18">
      <c r="B6" s="3" t="s">
        <v>294</v>
      </c>
      <c r="C6" s="25">
        <f>'A5-Mach. Equip. &amp; Build. Req.'!$F$16</f>
        <v>153940</v>
      </c>
      <c r="D6" s="25">
        <f>'A11-Salv Value &amp; Dep Costs'!F17</f>
        <v>19000</v>
      </c>
      <c r="E6" s="38">
        <f>$J$4</f>
        <v>10</v>
      </c>
      <c r="F6" s="22">
        <f>((C6+D6)/2)*$C$8</f>
        <v>4323.5</v>
      </c>
      <c r="G6" s="26">
        <f>F6/E6</f>
        <v>432.35</v>
      </c>
      <c r="I6" s="270"/>
      <c r="J6" s="284"/>
    </row>
    <row r="7" spans="2:11" ht="18">
      <c r="B7" s="98" t="s">
        <v>159</v>
      </c>
      <c r="C7" s="22">
        <f>'A9-Estab Costs'!$H$14</f>
        <v>21074.706491063025</v>
      </c>
      <c r="D7" s="164">
        <v>0</v>
      </c>
      <c r="E7" s="163">
        <f>$J$5</f>
        <v>9</v>
      </c>
      <c r="F7" s="22">
        <f>((C7+D7)/2)*$C$8</f>
        <v>526.86766227657563</v>
      </c>
      <c r="G7" s="26">
        <f t="shared" ref="G7" si="0">F7/E7</f>
        <v>58.540851364063961</v>
      </c>
      <c r="H7" s="23"/>
      <c r="I7" s="23"/>
    </row>
    <row r="8" spans="2:11">
      <c r="B8" s="251" t="s">
        <v>36</v>
      </c>
      <c r="C8" s="252">
        <f>'A13-Data for tables'!$C$44</f>
        <v>0.05</v>
      </c>
      <c r="D8" s="253"/>
      <c r="E8" s="253"/>
      <c r="F8" s="253"/>
      <c r="G8" s="253"/>
    </row>
    <row r="9" spans="2:11">
      <c r="B9" s="33" t="s">
        <v>121</v>
      </c>
    </row>
    <row r="10" spans="2:11">
      <c r="B10" s="33" t="s">
        <v>160</v>
      </c>
      <c r="C10" s="29"/>
      <c r="G10" s="30"/>
    </row>
    <row r="11" spans="2:11" s="32" customFormat="1" ht="26.45" customHeight="1">
      <c r="B11" s="463" t="s">
        <v>380</v>
      </c>
      <c r="C11" s="463"/>
      <c r="D11" s="463"/>
      <c r="E11" s="463"/>
      <c r="F11" s="463"/>
      <c r="G11" s="463"/>
    </row>
    <row r="12" spans="2:11" s="32" customFormat="1" ht="27.75" customHeight="1">
      <c r="B12" s="462" t="s">
        <v>188</v>
      </c>
      <c r="C12" s="462"/>
      <c r="D12" s="462"/>
      <c r="E12" s="462"/>
      <c r="F12" s="462"/>
      <c r="G12" s="462"/>
    </row>
    <row r="13" spans="2:11" s="32" customFormat="1" ht="27" customHeight="1">
      <c r="B13" s="462" t="s">
        <v>295</v>
      </c>
      <c r="C13" s="462"/>
      <c r="D13" s="462"/>
      <c r="E13" s="462"/>
      <c r="F13" s="462"/>
      <c r="G13" s="462"/>
    </row>
    <row r="14" spans="2:11" s="32" customFormat="1" ht="15.75" customHeight="1">
      <c r="B14" s="461" t="s">
        <v>342</v>
      </c>
      <c r="C14" s="461"/>
      <c r="D14" s="461"/>
      <c r="E14" s="461"/>
      <c r="F14" s="461"/>
      <c r="G14" s="461"/>
    </row>
    <row r="15" spans="2:11" ht="18.75" customHeight="1"/>
    <row r="16" spans="2:11" s="381" customFormat="1" ht="39.75" customHeight="1">
      <c r="B16" s="459" t="s">
        <v>384</v>
      </c>
      <c r="C16" s="459"/>
      <c r="D16" s="459"/>
      <c r="E16" s="459"/>
      <c r="F16" s="459"/>
      <c r="G16" s="459"/>
      <c r="I16" s="435"/>
    </row>
    <row r="17" spans="2:9" s="381" customFormat="1" ht="45">
      <c r="B17" s="379"/>
      <c r="C17" s="380" t="s">
        <v>37</v>
      </c>
      <c r="D17" s="380" t="s">
        <v>31</v>
      </c>
      <c r="E17" s="380" t="s">
        <v>38</v>
      </c>
      <c r="F17" s="380" t="s">
        <v>39</v>
      </c>
      <c r="G17" s="380" t="s">
        <v>161</v>
      </c>
      <c r="I17" s="382"/>
    </row>
    <row r="18" spans="2:9">
      <c r="B18" s="3" t="s">
        <v>6</v>
      </c>
      <c r="C18" s="22">
        <f>C4</f>
        <v>23283.160865475067</v>
      </c>
      <c r="D18" s="38">
        <f>$J$5</f>
        <v>9</v>
      </c>
      <c r="E18" s="31">
        <f>C18/D18</f>
        <v>2587.0178739416742</v>
      </c>
      <c r="F18" s="153">
        <v>25</v>
      </c>
      <c r="G18" s="26">
        <f>(E18-D4)/F18</f>
        <v>103.48071495766698</v>
      </c>
      <c r="I18" s="27"/>
    </row>
    <row r="19" spans="2:9">
      <c r="B19" s="98" t="s">
        <v>10</v>
      </c>
      <c r="C19" s="22">
        <f>C7</f>
        <v>21074.706491063025</v>
      </c>
      <c r="D19" s="38">
        <f>$J$5</f>
        <v>9</v>
      </c>
      <c r="E19" s="31">
        <f t="shared" ref="E19" si="1">C19/D19</f>
        <v>2341.6340545625585</v>
      </c>
      <c r="F19" s="153">
        <v>25</v>
      </c>
      <c r="G19" s="26">
        <f>(E19-D7)/F19</f>
        <v>93.665362182502335</v>
      </c>
    </row>
    <row r="20" spans="2:9" ht="18">
      <c r="B20" s="247" t="s">
        <v>296</v>
      </c>
      <c r="C20" s="241"/>
      <c r="D20" s="242"/>
      <c r="E20" s="243"/>
      <c r="F20" s="244"/>
      <c r="G20" s="246">
        <f>'A11-Salv Value &amp; Dep Costs'!H17</f>
        <v>539.76</v>
      </c>
      <c r="I20" s="67"/>
    </row>
    <row r="21" spans="2:9">
      <c r="B21" s="33" t="s">
        <v>121</v>
      </c>
    </row>
    <row r="22" spans="2:9">
      <c r="B22" s="460" t="s">
        <v>381</v>
      </c>
      <c r="C22" s="460"/>
      <c r="D22" s="460"/>
      <c r="E22" s="460"/>
      <c r="F22" s="460"/>
      <c r="G22" s="460"/>
    </row>
    <row r="23" spans="2:9">
      <c r="B23" s="33" t="s">
        <v>341</v>
      </c>
    </row>
  </sheetData>
  <protectedRanges>
    <protectedRange sqref="F18:F20" name="Depreciation"/>
    <protectedRange sqref="C8" name="Interest and Salvage"/>
    <protectedRange sqref="J4:J6" name="Acres"/>
  </protectedRanges>
  <mergeCells count="7">
    <mergeCell ref="B22:G22"/>
    <mergeCell ref="B2:G2"/>
    <mergeCell ref="B14:G14"/>
    <mergeCell ref="B12:G12"/>
    <mergeCell ref="B13:G13"/>
    <mergeCell ref="B11:G11"/>
    <mergeCell ref="B16:G16"/>
  </mergeCells>
  <phoneticPr fontId="21" type="noConversion"/>
  <pageMargins left="0.7" right="0.7" top="0.75" bottom="0.75" header="0.3" footer="0.3"/>
  <pageSetup orientation="portrait" r:id="rId1"/>
  <ignoredErrors>
    <ignoredError sqref="C8" unlockedFormula="1"/>
    <ignoredError sqref="F5"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B2:R25"/>
  <sheetViews>
    <sheetView workbookViewId="0">
      <selection activeCell="B2" sqref="B2:I2"/>
    </sheetView>
  </sheetViews>
  <sheetFormatPr defaultColWidth="9.140625" defaultRowHeight="15"/>
  <cols>
    <col min="1" max="1" width="9.140625" style="32"/>
    <col min="2" max="2" width="4.140625" style="32" customWidth="1"/>
    <col min="3" max="3" width="25.85546875" style="32" customWidth="1"/>
    <col min="4" max="4" width="14.28515625" style="32" customWidth="1"/>
    <col min="5" max="5" width="19.7109375" style="32" customWidth="1"/>
    <col min="6" max="6" width="7.85546875" style="32" customWidth="1"/>
    <col min="7" max="7" width="12.5703125" style="32" customWidth="1"/>
    <col min="8" max="8" width="1.42578125" style="32" customWidth="1"/>
    <col min="9" max="9" width="18.5703125" style="32" customWidth="1"/>
    <col min="10" max="10" width="24.140625" style="32" customWidth="1"/>
    <col min="11" max="16384" width="9.140625" style="32"/>
  </cols>
  <sheetData>
    <row r="2" spans="2:18" ht="33.75" customHeight="1">
      <c r="B2" s="464" t="s">
        <v>390</v>
      </c>
      <c r="C2" s="464"/>
      <c r="D2" s="464"/>
      <c r="E2" s="464"/>
      <c r="F2" s="464"/>
      <c r="G2" s="464"/>
      <c r="H2" s="464"/>
      <c r="I2" s="464"/>
    </row>
    <row r="3" spans="2:18" ht="31.5">
      <c r="B3" s="344"/>
      <c r="C3" s="330"/>
      <c r="D3" s="345" t="s">
        <v>305</v>
      </c>
      <c r="E3" s="345" t="s">
        <v>314</v>
      </c>
      <c r="F3" s="346"/>
      <c r="G3" s="347" t="s">
        <v>306</v>
      </c>
      <c r="H3" s="348"/>
      <c r="I3" s="347" t="s">
        <v>307</v>
      </c>
    </row>
    <row r="4" spans="2:18">
      <c r="B4" s="1"/>
      <c r="C4" s="1"/>
      <c r="D4" s="349"/>
      <c r="E4" s="350"/>
      <c r="F4" s="98"/>
      <c r="G4" s="98"/>
      <c r="H4" s="98"/>
      <c r="I4" s="351"/>
    </row>
    <row r="5" spans="2:18" ht="17.25">
      <c r="B5" s="352" t="s">
        <v>47</v>
      </c>
      <c r="C5" s="3" t="s">
        <v>24</v>
      </c>
      <c r="D5" s="353">
        <f>'A2-Cider Apple Budget'!$G$33</f>
        <v>8414.1152398871127</v>
      </c>
      <c r="E5" s="353">
        <f>D5/$D$15</f>
        <v>182.9155486931981</v>
      </c>
      <c r="F5" s="354" t="s">
        <v>315</v>
      </c>
      <c r="G5" s="355"/>
      <c r="H5" s="356"/>
      <c r="I5" s="355"/>
    </row>
    <row r="6" spans="2:18">
      <c r="B6" s="3"/>
      <c r="C6" s="3"/>
      <c r="D6" s="353"/>
      <c r="E6" s="353"/>
      <c r="F6" s="64"/>
      <c r="G6" s="64"/>
      <c r="H6" s="64"/>
      <c r="I6" s="64"/>
    </row>
    <row r="7" spans="2:18" ht="17.25">
      <c r="B7" s="357" t="s">
        <v>48</v>
      </c>
      <c r="C7" s="3" t="s">
        <v>308</v>
      </c>
      <c r="D7" s="358">
        <f>D5+SUM('A2-Cider Apple Budget'!G47:G49)</f>
        <v>8812.5159924741311</v>
      </c>
      <c r="E7" s="358">
        <f>D7/$D$15</f>
        <v>191.57643461900284</v>
      </c>
      <c r="F7" s="354" t="s">
        <v>316</v>
      </c>
      <c r="G7" s="355"/>
      <c r="H7" s="356"/>
      <c r="I7" s="355"/>
      <c r="J7" s="359"/>
      <c r="K7" s="359"/>
      <c r="L7" s="359"/>
      <c r="M7" s="359"/>
      <c r="N7" s="359"/>
      <c r="O7" s="359"/>
      <c r="P7" s="359"/>
      <c r="Q7" s="359"/>
      <c r="R7" s="359"/>
    </row>
    <row r="8" spans="2:18" ht="60">
      <c r="B8" s="3"/>
      <c r="C8" s="360" t="s">
        <v>309</v>
      </c>
      <c r="D8" s="353"/>
      <c r="E8" s="353"/>
      <c r="F8" s="64"/>
      <c r="G8" s="64"/>
      <c r="H8" s="64"/>
      <c r="I8" s="64"/>
    </row>
    <row r="9" spans="2:18">
      <c r="B9" s="3"/>
      <c r="C9" s="3"/>
      <c r="D9" s="353"/>
      <c r="E9" s="353"/>
      <c r="F9" s="64"/>
      <c r="G9" s="64"/>
      <c r="H9" s="64"/>
      <c r="I9" s="64"/>
    </row>
    <row r="10" spans="2:18" ht="30">
      <c r="B10" s="357" t="s">
        <v>49</v>
      </c>
      <c r="C10" s="90" t="s">
        <v>310</v>
      </c>
      <c r="D10" s="358">
        <f>D7+SUM('A2-Cider Apple Budget'!$G$37:$G$39)</f>
        <v>9549.4220696143002</v>
      </c>
      <c r="E10" s="358">
        <f>D10/$D$15</f>
        <v>207.59613194813696</v>
      </c>
      <c r="F10" s="354" t="s">
        <v>317</v>
      </c>
      <c r="G10" s="355"/>
      <c r="H10" s="356"/>
      <c r="I10" s="355"/>
      <c r="J10" s="359"/>
      <c r="K10" s="359"/>
      <c r="L10" s="359"/>
      <c r="M10" s="359"/>
      <c r="N10" s="359"/>
      <c r="O10" s="359"/>
      <c r="P10" s="359"/>
      <c r="Q10" s="359"/>
      <c r="R10" s="359"/>
    </row>
    <row r="11" spans="2:18">
      <c r="B11" s="3"/>
      <c r="C11" s="361"/>
      <c r="D11" s="362"/>
      <c r="E11" s="362"/>
      <c r="F11" s="64"/>
      <c r="G11" s="64"/>
      <c r="H11" s="64"/>
      <c r="I11" s="64"/>
      <c r="J11" s="359"/>
      <c r="K11" s="359"/>
      <c r="L11" s="359"/>
      <c r="M11" s="359"/>
      <c r="N11" s="359"/>
      <c r="O11" s="359"/>
      <c r="P11" s="359"/>
      <c r="Q11" s="359"/>
      <c r="R11" s="359"/>
    </row>
    <row r="12" spans="2:18" ht="16.5">
      <c r="B12" s="352" t="s">
        <v>50</v>
      </c>
      <c r="C12" s="3" t="s">
        <v>45</v>
      </c>
      <c r="D12" s="363"/>
      <c r="E12" s="353"/>
      <c r="G12" s="364"/>
      <c r="H12" s="364"/>
      <c r="I12" s="364"/>
      <c r="J12" s="359"/>
      <c r="K12" s="359"/>
      <c r="L12" s="359"/>
      <c r="M12" s="359"/>
      <c r="N12" s="359"/>
      <c r="O12" s="359"/>
      <c r="P12" s="359"/>
      <c r="Q12" s="359"/>
      <c r="R12" s="359"/>
    </row>
    <row r="13" spans="2:18" ht="60">
      <c r="B13" s="1"/>
      <c r="C13" s="365" t="s">
        <v>311</v>
      </c>
      <c r="D13" s="366">
        <f>'A2-Cider Apple Budget'!$G$55</f>
        <v>13306.797159533835</v>
      </c>
      <c r="E13" s="366">
        <f>D13/$D$15</f>
        <v>289.27819912030077</v>
      </c>
      <c r="F13" s="356" t="s">
        <v>318</v>
      </c>
      <c r="G13" s="355"/>
      <c r="H13" s="356"/>
      <c r="I13" s="355"/>
      <c r="J13" s="359"/>
      <c r="K13" s="359"/>
      <c r="L13" s="359"/>
      <c r="M13" s="359"/>
      <c r="N13" s="359"/>
      <c r="O13" s="359"/>
      <c r="P13" s="359"/>
      <c r="Q13" s="359"/>
      <c r="R13" s="359"/>
    </row>
    <row r="14" spans="2:18" ht="17.25">
      <c r="B14" s="330"/>
      <c r="C14" s="367"/>
      <c r="D14" s="368"/>
      <c r="E14" s="369"/>
      <c r="F14" s="370"/>
      <c r="G14" s="371"/>
      <c r="H14" s="371"/>
      <c r="I14" s="371"/>
      <c r="J14" s="359"/>
      <c r="K14" s="359"/>
      <c r="L14" s="359"/>
      <c r="M14" s="359"/>
      <c r="N14" s="359"/>
      <c r="O14" s="359"/>
      <c r="P14" s="359"/>
      <c r="Q14" s="359"/>
      <c r="R14" s="359"/>
    </row>
    <row r="15" spans="2:18">
      <c r="B15" s="33" t="s">
        <v>312</v>
      </c>
      <c r="D15" s="372">
        <v>46</v>
      </c>
    </row>
    <row r="16" spans="2:18">
      <c r="B16" s="33" t="s">
        <v>313</v>
      </c>
      <c r="D16" s="373">
        <f>'A13-Data for tables'!$F$3</f>
        <v>337.5</v>
      </c>
    </row>
    <row r="17" spans="2:18">
      <c r="B17" s="33" t="s">
        <v>121</v>
      </c>
    </row>
    <row r="18" spans="2:18">
      <c r="B18" s="462" t="s">
        <v>319</v>
      </c>
      <c r="C18" s="462"/>
      <c r="D18" s="462"/>
      <c r="E18" s="462"/>
      <c r="F18" s="462"/>
      <c r="G18" s="462"/>
      <c r="H18" s="462"/>
      <c r="I18" s="462"/>
    </row>
    <row r="19" spans="2:18">
      <c r="B19" s="462" t="s">
        <v>320</v>
      </c>
      <c r="C19" s="462"/>
      <c r="D19" s="462"/>
      <c r="E19" s="462"/>
      <c r="F19" s="462"/>
      <c r="G19" s="462"/>
      <c r="H19" s="462"/>
      <c r="I19" s="462"/>
    </row>
    <row r="20" spans="2:18">
      <c r="B20" s="462" t="s">
        <v>321</v>
      </c>
      <c r="C20" s="462"/>
      <c r="D20" s="462"/>
      <c r="E20" s="462"/>
      <c r="F20" s="462"/>
      <c r="G20" s="462"/>
      <c r="H20" s="462"/>
      <c r="I20" s="462"/>
      <c r="J20" s="359"/>
      <c r="K20" s="359"/>
      <c r="L20" s="359"/>
      <c r="M20" s="359"/>
      <c r="N20" s="359"/>
      <c r="O20" s="359"/>
      <c r="P20" s="359"/>
      <c r="Q20" s="359"/>
      <c r="R20" s="359"/>
    </row>
    <row r="21" spans="2:18">
      <c r="B21" s="462" t="s">
        <v>322</v>
      </c>
      <c r="C21" s="462"/>
      <c r="D21" s="462"/>
      <c r="E21" s="462"/>
      <c r="F21" s="462"/>
      <c r="G21" s="462"/>
      <c r="H21" s="462"/>
      <c r="I21" s="462"/>
      <c r="J21" s="359"/>
      <c r="K21" s="359"/>
      <c r="L21" s="359"/>
      <c r="M21" s="359"/>
      <c r="N21" s="359"/>
      <c r="O21" s="359"/>
      <c r="P21" s="359"/>
      <c r="Q21" s="359"/>
      <c r="R21" s="359"/>
    </row>
    <row r="22" spans="2:18" ht="29.25" customHeight="1">
      <c r="B22" s="462" t="s">
        <v>323</v>
      </c>
      <c r="C22" s="462"/>
      <c r="D22" s="462"/>
      <c r="E22" s="462"/>
      <c r="F22" s="462"/>
      <c r="G22" s="462"/>
      <c r="H22" s="462"/>
      <c r="I22" s="462"/>
      <c r="J22" s="359"/>
      <c r="K22" s="359"/>
      <c r="L22" s="359"/>
      <c r="M22" s="359"/>
      <c r="N22" s="359"/>
      <c r="O22" s="359"/>
      <c r="P22" s="359"/>
      <c r="Q22" s="359"/>
      <c r="R22" s="359"/>
    </row>
    <row r="23" spans="2:18">
      <c r="B23" s="33"/>
    </row>
    <row r="24" spans="2:18">
      <c r="B24" s="374"/>
    </row>
    <row r="25" spans="2:18">
      <c r="B25" s="33"/>
    </row>
  </sheetData>
  <protectedRanges>
    <protectedRange sqref="D15" name="Yield"/>
    <protectedRange sqref="G5:I13" name="Cost and breakeven"/>
  </protectedRanges>
  <mergeCells count="6">
    <mergeCell ref="B22:I22"/>
    <mergeCell ref="B2:I2"/>
    <mergeCell ref="B18:I18"/>
    <mergeCell ref="B19:I19"/>
    <mergeCell ref="B20:I20"/>
    <mergeCell ref="B21:I21"/>
  </mergeCells>
  <pageMargins left="0.7" right="0.7" top="0.75" bottom="0.75" header="0.3" footer="0.3"/>
  <ignoredErrors>
    <ignoredError sqref="B5:B12" numberStoredAsText="1"/>
  </ignoredErrors>
</worksheet>
</file>

<file path=xl/worksheets/sheet8.xml><?xml version="1.0" encoding="utf-8"?>
<worksheet xmlns="http://schemas.openxmlformats.org/spreadsheetml/2006/main" xmlns:r="http://schemas.openxmlformats.org/officeDocument/2006/relationships">
  <dimension ref="A2:T102"/>
  <sheetViews>
    <sheetView zoomScaleNormal="100" workbookViewId="0">
      <selection activeCell="B2" sqref="B2:H2"/>
    </sheetView>
  </sheetViews>
  <sheetFormatPr defaultColWidth="9.140625" defaultRowHeight="15"/>
  <cols>
    <col min="1" max="1" width="9.7109375" style="43" customWidth="1"/>
    <col min="2" max="2" width="45.42578125" style="43" customWidth="1"/>
    <col min="3" max="3" width="13.42578125" style="43" customWidth="1"/>
    <col min="4" max="4" width="13.28515625" style="43" bestFit="1" customWidth="1"/>
    <col min="5" max="5" width="13.140625" style="43" customWidth="1"/>
    <col min="6" max="6" width="12.85546875" style="43" customWidth="1"/>
    <col min="7" max="8" width="14.42578125" style="43" customWidth="1"/>
    <col min="9" max="9" width="11.42578125" style="43" customWidth="1"/>
    <col min="10" max="10" width="11.7109375" style="43" customWidth="1"/>
    <col min="11" max="11" width="10.140625" style="43" customWidth="1"/>
    <col min="12" max="12" width="7.140625" style="43" customWidth="1"/>
    <col min="13" max="16384" width="9.140625" style="43"/>
  </cols>
  <sheetData>
    <row r="2" spans="1:12" ht="35.25" customHeight="1">
      <c r="B2" s="465" t="s">
        <v>385</v>
      </c>
      <c r="C2" s="465"/>
      <c r="D2" s="465"/>
      <c r="E2" s="465"/>
      <c r="F2" s="465"/>
      <c r="G2" s="465"/>
      <c r="H2" s="465"/>
    </row>
    <row r="3" spans="1:12" ht="29.25">
      <c r="B3" s="75"/>
      <c r="C3" s="100" t="s">
        <v>32</v>
      </c>
      <c r="D3" s="100" t="s">
        <v>30</v>
      </c>
      <c r="E3" s="100" t="s">
        <v>33</v>
      </c>
      <c r="F3" s="100" t="s">
        <v>31</v>
      </c>
      <c r="G3" s="101" t="s">
        <v>34</v>
      </c>
      <c r="H3" s="101" t="s">
        <v>35</v>
      </c>
    </row>
    <row r="4" spans="1:12">
      <c r="B4" s="76" t="s">
        <v>26</v>
      </c>
      <c r="J4" s="72" t="s">
        <v>58</v>
      </c>
      <c r="L4" s="157">
        <v>10</v>
      </c>
    </row>
    <row r="5" spans="1:12">
      <c r="B5" s="43" t="s">
        <v>15</v>
      </c>
      <c r="J5" s="72" t="s">
        <v>59</v>
      </c>
      <c r="L5" s="157">
        <v>9</v>
      </c>
    </row>
    <row r="6" spans="1:12" ht="15" customHeight="1">
      <c r="B6" s="78" t="s">
        <v>165</v>
      </c>
      <c r="C6" s="102"/>
      <c r="D6" s="102"/>
      <c r="E6" s="68">
        <f>'A13-Data for tables'!$C$5</f>
        <v>13969.896519285041</v>
      </c>
      <c r="F6" s="103">
        <f>$L$4</f>
        <v>10</v>
      </c>
      <c r="G6" s="102">
        <f>E6</f>
        <v>13969.896519285041</v>
      </c>
      <c r="H6" s="102">
        <f>G6*F6</f>
        <v>139698.96519285042</v>
      </c>
      <c r="I6" s="104"/>
      <c r="J6" s="43" t="s">
        <v>54</v>
      </c>
      <c r="L6" s="158">
        <f>'A13-Data for tables'!$G$49</f>
        <v>726</v>
      </c>
    </row>
    <row r="7" spans="1:12" ht="18">
      <c r="A7" s="41"/>
      <c r="B7" s="72" t="s">
        <v>267</v>
      </c>
      <c r="E7" s="105"/>
      <c r="F7" s="103">
        <f>$L$5</f>
        <v>9</v>
      </c>
      <c r="G7" s="102">
        <f>SUM(E8:E10)</f>
        <v>517.40357478833494</v>
      </c>
      <c r="H7" s="102">
        <f>G7*F7</f>
        <v>4656.6321730950149</v>
      </c>
      <c r="I7" s="106"/>
    </row>
    <row r="8" spans="1:12">
      <c r="A8" s="41"/>
      <c r="B8" s="78" t="s">
        <v>105</v>
      </c>
      <c r="C8" s="110"/>
      <c r="D8" s="110"/>
      <c r="E8" s="68">
        <f>'A13-Data for tables'!$C$6</f>
        <v>155.22107243650046</v>
      </c>
      <c r="F8" s="45"/>
      <c r="G8" s="102"/>
      <c r="H8" s="102"/>
      <c r="I8" s="104"/>
      <c r="J8" s="107"/>
    </row>
    <row r="9" spans="1:12">
      <c r="A9" s="41"/>
      <c r="B9" s="78" t="s">
        <v>218</v>
      </c>
      <c r="C9" s="110"/>
      <c r="D9" s="110"/>
      <c r="E9" s="68">
        <f>'A13-Data for tables'!$C$7</f>
        <v>258.70178739416741</v>
      </c>
      <c r="F9" s="45"/>
      <c r="G9" s="102"/>
      <c r="H9" s="102"/>
      <c r="I9" s="104"/>
      <c r="J9" s="107"/>
    </row>
    <row r="10" spans="1:12">
      <c r="A10" s="41"/>
      <c r="B10" s="78" t="s">
        <v>137</v>
      </c>
      <c r="E10" s="68">
        <f>'A13-Data for tables'!$C$8</f>
        <v>103.48071495766698</v>
      </c>
      <c r="F10" s="103"/>
      <c r="G10" s="102"/>
      <c r="H10" s="102"/>
      <c r="I10" s="106"/>
    </row>
    <row r="11" spans="1:12">
      <c r="B11" s="43" t="s">
        <v>27</v>
      </c>
      <c r="C11" s="102"/>
      <c r="D11" s="102"/>
      <c r="E11" s="102"/>
      <c r="F11" s="103">
        <f>$L$5</f>
        <v>9</v>
      </c>
      <c r="G11" s="102">
        <f>SUM(E12:E13)</f>
        <v>5421.4374412041388</v>
      </c>
      <c r="H11" s="102">
        <f>G11*F11</f>
        <v>48792.936970837247</v>
      </c>
      <c r="I11" s="106"/>
    </row>
    <row r="12" spans="1:12">
      <c r="B12" s="77" t="s">
        <v>53</v>
      </c>
      <c r="C12" s="68">
        <f>'A13-Data for tables'!$C$10</f>
        <v>6.467544684854186</v>
      </c>
      <c r="D12" s="103">
        <f>$L$6</f>
        <v>726</v>
      </c>
      <c r="E12" s="45">
        <f>C12*D12</f>
        <v>4695.4374412041388</v>
      </c>
      <c r="I12" s="106"/>
    </row>
    <row r="13" spans="1:12">
      <c r="B13" s="78" t="s">
        <v>68</v>
      </c>
      <c r="C13" s="68">
        <v>1</v>
      </c>
      <c r="D13" s="103">
        <f>$L$6</f>
        <v>726</v>
      </c>
      <c r="E13" s="45">
        <f>C13*D13</f>
        <v>726</v>
      </c>
      <c r="F13" s="103"/>
      <c r="G13" s="102"/>
      <c r="H13" s="102"/>
      <c r="I13" s="104"/>
    </row>
    <row r="14" spans="1:12">
      <c r="B14" s="146" t="s">
        <v>5</v>
      </c>
      <c r="C14" s="111"/>
      <c r="D14" s="112"/>
      <c r="E14" s="102"/>
      <c r="F14" s="103">
        <f>$L$5</f>
        <v>9</v>
      </c>
      <c r="G14" s="102">
        <f>SUM(E15:E16)</f>
        <v>2341.6340545625585</v>
      </c>
      <c r="H14" s="102">
        <f>G14*F14</f>
        <v>21074.706491063025</v>
      </c>
      <c r="I14" s="104"/>
    </row>
    <row r="15" spans="1:12">
      <c r="B15" s="78" t="s">
        <v>70</v>
      </c>
      <c r="C15" s="68"/>
      <c r="D15" s="113"/>
      <c r="E15" s="109">
        <f>'A13-Data for tables'!$C$12-'A13-Data for tables'!$C$19</f>
        <v>1674.1834430856065</v>
      </c>
      <c r="I15" s="106"/>
    </row>
    <row r="16" spans="1:12">
      <c r="B16" s="78" t="s">
        <v>69</v>
      </c>
      <c r="C16" s="68"/>
      <c r="D16" s="113"/>
      <c r="E16" s="109">
        <f>'A13-Data for tables'!$C$19</f>
        <v>667.45061147695196</v>
      </c>
      <c r="F16" s="103"/>
      <c r="G16" s="102"/>
      <c r="H16" s="102"/>
      <c r="I16" s="115"/>
      <c r="J16" s="114"/>
    </row>
    <row r="17" spans="2:9">
      <c r="B17" s="43" t="s">
        <v>55</v>
      </c>
      <c r="C17" s="111"/>
      <c r="D17" s="111"/>
      <c r="E17" s="102"/>
      <c r="F17" s="103">
        <f>$L$5</f>
        <v>9</v>
      </c>
      <c r="G17" s="102">
        <f>SUM(E18:E20)</f>
        <v>2587.0178739416742</v>
      </c>
      <c r="H17" s="102">
        <f>G17*F17</f>
        <v>23283.160865475067</v>
      </c>
    </row>
    <row r="18" spans="2:9">
      <c r="B18" s="78" t="s">
        <v>103</v>
      </c>
      <c r="C18" s="66"/>
      <c r="D18" s="108"/>
      <c r="E18" s="109">
        <f>'A13-Data for tables'!$C$20</f>
        <v>776.10536218250229</v>
      </c>
      <c r="I18" s="72"/>
    </row>
    <row r="19" spans="2:9">
      <c r="B19" s="77" t="s">
        <v>56</v>
      </c>
      <c r="C19" s="68"/>
      <c r="D19" s="108"/>
      <c r="E19" s="109">
        <f>'A13-Data for tables'!$C$21</f>
        <v>103.48071495766698</v>
      </c>
      <c r="F19" s="103"/>
      <c r="G19" s="102"/>
      <c r="H19" s="102"/>
      <c r="I19" s="115"/>
    </row>
    <row r="20" spans="2:9">
      <c r="B20" s="78" t="s">
        <v>237</v>
      </c>
      <c r="C20" s="111"/>
      <c r="D20" s="116"/>
      <c r="E20" s="109">
        <f>'A13-Data for tables'!$C$22+'A13-Data for tables'!$C$23</f>
        <v>1707.431796801505</v>
      </c>
      <c r="F20" s="103"/>
      <c r="G20" s="102"/>
      <c r="H20" s="102"/>
      <c r="I20" s="106"/>
    </row>
    <row r="21" spans="2:9" ht="18">
      <c r="B21" s="42" t="s">
        <v>162</v>
      </c>
      <c r="C21" s="66"/>
      <c r="D21" s="103"/>
      <c r="E21" s="109">
        <f>'A13-Data for tables'!$C$24</f>
        <v>298.02445907808089</v>
      </c>
      <c r="F21" s="103">
        <f t="shared" ref="F21:F34" si="0">$L$5</f>
        <v>9</v>
      </c>
      <c r="G21" s="102">
        <f>E21</f>
        <v>298.02445907808089</v>
      </c>
      <c r="H21" s="45">
        <f t="shared" ref="H21:H30" si="1">G21*F21</f>
        <v>2682.2201317027279</v>
      </c>
      <c r="I21" s="104"/>
    </row>
    <row r="22" spans="2:9" ht="18">
      <c r="B22" s="42" t="s">
        <v>163</v>
      </c>
      <c r="C22" s="131"/>
      <c r="D22" s="130"/>
      <c r="E22" s="109">
        <f>'A13-Data for tables'!$C$25</f>
        <v>0</v>
      </c>
      <c r="F22" s="103">
        <f t="shared" si="0"/>
        <v>9</v>
      </c>
      <c r="G22" s="102">
        <f t="shared" ref="G22" si="2">E22</f>
        <v>0</v>
      </c>
      <c r="H22" s="45">
        <f t="shared" si="1"/>
        <v>0</v>
      </c>
      <c r="I22" s="142"/>
    </row>
    <row r="23" spans="2:9" ht="18">
      <c r="B23" s="42" t="s">
        <v>164</v>
      </c>
      <c r="C23" s="111"/>
      <c r="D23" s="116"/>
      <c r="E23" s="68">
        <f>'A13-Data for tables'!$C$26</f>
        <v>362.18250235183439</v>
      </c>
      <c r="F23" s="103">
        <f t="shared" si="0"/>
        <v>9</v>
      </c>
      <c r="G23" s="45">
        <f t="shared" ref="G23:G29" si="3">E23</f>
        <v>362.18250235183439</v>
      </c>
      <c r="H23" s="45">
        <f t="shared" ref="H23" si="4">G23*F23</f>
        <v>3259.6425211665096</v>
      </c>
      <c r="I23" s="141"/>
    </row>
    <row r="24" spans="2:9" ht="18">
      <c r="B24" s="42" t="s">
        <v>268</v>
      </c>
      <c r="C24" s="111"/>
      <c r="D24" s="116"/>
      <c r="E24" s="68">
        <f>'A13-Data for tables'!$C$27</f>
        <v>124.17685794920037</v>
      </c>
      <c r="F24" s="103">
        <f t="shared" si="0"/>
        <v>9</v>
      </c>
      <c r="G24" s="45">
        <f t="shared" si="3"/>
        <v>124.17685794920037</v>
      </c>
      <c r="H24" s="45">
        <f t="shared" ref="H24" si="5">G24*F24</f>
        <v>1117.5917215428033</v>
      </c>
      <c r="I24" s="141"/>
    </row>
    <row r="25" spans="2:9">
      <c r="B25" s="42" t="s">
        <v>269</v>
      </c>
      <c r="C25" s="66"/>
      <c r="D25" s="108"/>
      <c r="E25" s="109">
        <f>'A13-Data for tables'!$C$28</f>
        <v>0</v>
      </c>
      <c r="F25" s="103">
        <f t="shared" si="0"/>
        <v>9</v>
      </c>
      <c r="G25" s="45">
        <f t="shared" si="3"/>
        <v>0</v>
      </c>
      <c r="H25" s="45">
        <f t="shared" ref="H25" si="6">G25*F25</f>
        <v>0</v>
      </c>
      <c r="I25" s="69"/>
    </row>
    <row r="26" spans="2:9" ht="18">
      <c r="B26" s="79" t="s">
        <v>270</v>
      </c>
      <c r="C26" s="66"/>
      <c r="D26" s="108"/>
      <c r="E26" s="109">
        <f>'A13-Data for tables'!$C$38</f>
        <v>186.26528692380055</v>
      </c>
      <c r="F26" s="103">
        <f t="shared" si="0"/>
        <v>9</v>
      </c>
      <c r="G26" s="102">
        <f t="shared" si="3"/>
        <v>186.26528692380055</v>
      </c>
      <c r="H26" s="102">
        <f t="shared" si="1"/>
        <v>1676.3875823142048</v>
      </c>
      <c r="I26" s="69"/>
    </row>
    <row r="27" spans="2:9">
      <c r="B27" s="79" t="s">
        <v>136</v>
      </c>
      <c r="C27" s="66"/>
      <c r="D27" s="108"/>
      <c r="E27" s="109">
        <f>'A13-Data for tables'!$C$29</f>
        <v>0</v>
      </c>
      <c r="F27" s="103">
        <f t="shared" si="0"/>
        <v>9</v>
      </c>
      <c r="G27" s="102">
        <f t="shared" si="3"/>
        <v>0</v>
      </c>
      <c r="H27" s="102">
        <f t="shared" ref="H27" si="7">G27*F27</f>
        <v>0</v>
      </c>
      <c r="I27" s="69"/>
    </row>
    <row r="28" spans="2:9">
      <c r="B28" s="80" t="s">
        <v>14</v>
      </c>
      <c r="C28" s="117"/>
      <c r="D28" s="118"/>
      <c r="E28" s="70">
        <f>'A13-Data for tables'!$C$30</f>
        <v>149.01222953904045</v>
      </c>
      <c r="F28" s="103">
        <f t="shared" si="0"/>
        <v>9</v>
      </c>
      <c r="G28" s="102">
        <f t="shared" si="3"/>
        <v>149.01222953904045</v>
      </c>
      <c r="H28" s="102">
        <f t="shared" si="1"/>
        <v>1341.110065851364</v>
      </c>
    </row>
    <row r="29" spans="2:9" ht="18">
      <c r="B29" s="80" t="s">
        <v>271</v>
      </c>
      <c r="C29" s="117"/>
      <c r="D29" s="118"/>
      <c r="E29" s="70">
        <f>'A13-Data for tables'!$C$31</f>
        <v>496.70743179680147</v>
      </c>
      <c r="F29" s="103">
        <f t="shared" si="0"/>
        <v>9</v>
      </c>
      <c r="G29" s="102">
        <f t="shared" si="3"/>
        <v>496.70743179680147</v>
      </c>
      <c r="H29" s="102">
        <f t="shared" ref="H29" si="8">G29*F29</f>
        <v>4470.3668861712131</v>
      </c>
    </row>
    <row r="30" spans="2:9" ht="18">
      <c r="B30" s="80" t="s">
        <v>272</v>
      </c>
      <c r="C30" s="117"/>
      <c r="D30" s="118"/>
      <c r="E30" s="70">
        <f>SUM('A13-Data for tables'!$C$34:$C$35)</f>
        <v>103.48071495766698</v>
      </c>
      <c r="F30" s="103">
        <f t="shared" si="0"/>
        <v>9</v>
      </c>
      <c r="G30" s="102">
        <f t="shared" ref="G30:G35" si="9">E30</f>
        <v>103.48071495766698</v>
      </c>
      <c r="H30" s="102">
        <f t="shared" si="1"/>
        <v>931.32643461900284</v>
      </c>
    </row>
    <row r="31" spans="2:9">
      <c r="B31" s="80" t="s">
        <v>67</v>
      </c>
      <c r="C31" s="117"/>
      <c r="D31" s="118"/>
      <c r="E31" s="70">
        <f>'A13-Data for tables'!$C$36</f>
        <v>72.43650047036688</v>
      </c>
      <c r="F31" s="103">
        <f t="shared" si="0"/>
        <v>9</v>
      </c>
      <c r="G31" s="102">
        <f t="shared" si="9"/>
        <v>72.43650047036688</v>
      </c>
      <c r="H31" s="102">
        <f>G31*F31</f>
        <v>651.92850423330196</v>
      </c>
    </row>
    <row r="32" spans="2:9">
      <c r="B32" s="80" t="s">
        <v>115</v>
      </c>
      <c r="C32" s="117"/>
      <c r="D32" s="118"/>
      <c r="E32" s="70">
        <f>'A13-Data for tables'!$C$39</f>
        <v>206.96142991533395</v>
      </c>
      <c r="F32" s="103">
        <f t="shared" si="0"/>
        <v>9</v>
      </c>
      <c r="G32" s="102">
        <f t="shared" ref="G32" si="10">E32</f>
        <v>206.96142991533395</v>
      </c>
      <c r="H32" s="102">
        <f>G32*F32</f>
        <v>1862.6528692380057</v>
      </c>
    </row>
    <row r="33" spans="2:20">
      <c r="B33" s="80" t="s">
        <v>61</v>
      </c>
      <c r="C33" s="102"/>
      <c r="D33" s="119"/>
      <c r="E33" s="68">
        <f>'A13-Data for tables'!$C$40</f>
        <v>139.69896519285041</v>
      </c>
      <c r="F33" s="103">
        <f t="shared" si="0"/>
        <v>9</v>
      </c>
      <c r="G33" s="102">
        <f t="shared" si="9"/>
        <v>139.69896519285041</v>
      </c>
      <c r="H33" s="102">
        <f>F33*G33</f>
        <v>1257.2906867356537</v>
      </c>
      <c r="I33" s="115"/>
    </row>
    <row r="34" spans="2:20">
      <c r="B34" s="80" t="s">
        <v>65</v>
      </c>
      <c r="C34" s="102"/>
      <c r="D34" s="119"/>
      <c r="E34" s="68">
        <f>'A13-Data for tables'!$C$41</f>
        <v>51.740357478833488</v>
      </c>
      <c r="F34" s="103">
        <f t="shared" si="0"/>
        <v>9</v>
      </c>
      <c r="G34" s="102">
        <f t="shared" si="9"/>
        <v>51.740357478833488</v>
      </c>
      <c r="H34" s="102">
        <f>F34*G34</f>
        <v>465.66321730950142</v>
      </c>
      <c r="I34" s="120"/>
    </row>
    <row r="35" spans="2:20" ht="18">
      <c r="B35" s="79" t="s">
        <v>176</v>
      </c>
      <c r="C35" s="121"/>
      <c r="D35" s="122"/>
      <c r="E35" s="68">
        <f>'A13-Data for tables'!$C$42</f>
        <v>310.44214487300093</v>
      </c>
      <c r="F35" s="103">
        <f>$L$5</f>
        <v>9</v>
      </c>
      <c r="G35" s="102">
        <f t="shared" si="9"/>
        <v>310.44214487300093</v>
      </c>
      <c r="H35" s="117">
        <f>F35*G35</f>
        <v>2793.9793038570083</v>
      </c>
    </row>
    <row r="36" spans="2:20" ht="6" customHeight="1">
      <c r="B36" s="81"/>
      <c r="C36" s="117"/>
      <c r="D36" s="118"/>
      <c r="E36" s="117"/>
      <c r="F36" s="123"/>
      <c r="G36" s="117"/>
      <c r="H36" s="117"/>
    </row>
    <row r="37" spans="2:20">
      <c r="B37" s="76" t="s">
        <v>2</v>
      </c>
      <c r="C37" s="124"/>
      <c r="D37" s="102"/>
      <c r="E37" s="102"/>
      <c r="F37" s="125"/>
      <c r="G37" s="102"/>
      <c r="H37" s="102"/>
      <c r="I37" s="125"/>
      <c r="J37" s="102"/>
      <c r="K37" s="102"/>
      <c r="L37" s="125"/>
      <c r="M37" s="102"/>
      <c r="N37" s="102"/>
      <c r="O37" s="126"/>
      <c r="P37" s="102"/>
      <c r="Q37" s="102"/>
      <c r="R37" s="126"/>
      <c r="S37" s="102"/>
      <c r="T37" s="102"/>
    </row>
    <row r="38" spans="2:20" ht="18">
      <c r="B38" s="42" t="s">
        <v>162</v>
      </c>
      <c r="C38" s="66"/>
      <c r="D38" s="103"/>
      <c r="E38" s="109">
        <f>'A13-Data for tables'!$D$24</f>
        <v>745.06114769520218</v>
      </c>
      <c r="F38" s="103">
        <f t="shared" ref="F38:F52" si="11">$L$5</f>
        <v>9</v>
      </c>
      <c r="G38" s="102">
        <f t="shared" ref="G38" si="12">E38</f>
        <v>745.06114769520218</v>
      </c>
      <c r="H38" s="102">
        <f t="shared" ref="H38:H47" si="13">G38*F38</f>
        <v>6705.5503292568192</v>
      </c>
      <c r="I38" s="142"/>
      <c r="J38" s="122"/>
      <c r="K38" s="102"/>
      <c r="L38" s="112"/>
      <c r="M38" s="122"/>
      <c r="N38" s="102"/>
      <c r="O38" s="112"/>
      <c r="P38" s="122"/>
      <c r="Q38" s="102"/>
      <c r="R38" s="112"/>
      <c r="S38" s="122"/>
      <c r="T38" s="102"/>
    </row>
    <row r="39" spans="2:20" ht="18">
      <c r="B39" s="42" t="s">
        <v>163</v>
      </c>
      <c r="C39" s="131"/>
      <c r="D39" s="130"/>
      <c r="E39" s="109">
        <f>'A13-Data for tables'!$D$25</f>
        <v>149.01222953904045</v>
      </c>
      <c r="F39" s="103">
        <f t="shared" si="11"/>
        <v>9</v>
      </c>
      <c r="G39" s="102">
        <f>E39</f>
        <v>149.01222953904045</v>
      </c>
      <c r="H39" s="45">
        <f>G39*F39</f>
        <v>1341.110065851364</v>
      </c>
      <c r="I39" s="142"/>
    </row>
    <row r="40" spans="2:20" ht="18">
      <c r="B40" s="42" t="s">
        <v>164</v>
      </c>
      <c r="C40" s="127"/>
      <c r="D40" s="102"/>
      <c r="E40" s="68">
        <f>'A13-Data for tables'!$D$26</f>
        <v>362.18250235183439</v>
      </c>
      <c r="F40" s="103">
        <f t="shared" si="11"/>
        <v>9</v>
      </c>
      <c r="G40" s="102">
        <f t="shared" ref="G40:G42" si="14">E40</f>
        <v>362.18250235183439</v>
      </c>
      <c r="H40" s="45">
        <f t="shared" ref="H40:H42" si="15">G40*F40</f>
        <v>3259.6425211665096</v>
      </c>
      <c r="I40" s="107"/>
      <c r="K40" s="112"/>
      <c r="N40" s="112"/>
      <c r="Q40" s="112"/>
      <c r="T40" s="112"/>
    </row>
    <row r="41" spans="2:20" ht="18">
      <c r="B41" s="42" t="s">
        <v>268</v>
      </c>
      <c r="C41" s="127"/>
      <c r="D41" s="102"/>
      <c r="E41" s="68">
        <f>'A13-Data for tables'!$D$27</f>
        <v>124.17685794920037</v>
      </c>
      <c r="F41" s="103">
        <f t="shared" si="11"/>
        <v>9</v>
      </c>
      <c r="G41" s="102">
        <f t="shared" ref="G41" si="16">E41</f>
        <v>124.17685794920037</v>
      </c>
      <c r="H41" s="45">
        <f t="shared" ref="H41" si="17">G41*F41</f>
        <v>1117.5917215428033</v>
      </c>
      <c r="I41" s="107"/>
      <c r="K41" s="112"/>
      <c r="N41" s="112"/>
      <c r="Q41" s="112"/>
      <c r="T41" s="112"/>
    </row>
    <row r="42" spans="2:20" ht="18">
      <c r="B42" s="42" t="s">
        <v>280</v>
      </c>
      <c r="C42" s="66"/>
      <c r="D42" s="108"/>
      <c r="E42" s="109">
        <f>'A13-Data for tables'!$D$28</f>
        <v>62.088428974600184</v>
      </c>
      <c r="F42" s="103">
        <f t="shared" si="11"/>
        <v>9</v>
      </c>
      <c r="G42" s="102">
        <f t="shared" si="14"/>
        <v>62.088428974600184</v>
      </c>
      <c r="H42" s="45">
        <f t="shared" si="15"/>
        <v>558.79586077140164</v>
      </c>
      <c r="I42" s="128"/>
      <c r="J42" s="122"/>
      <c r="K42" s="102"/>
      <c r="L42" s="121"/>
      <c r="M42" s="122"/>
      <c r="N42" s="102"/>
      <c r="O42" s="121"/>
      <c r="P42" s="122"/>
      <c r="Q42" s="102"/>
      <c r="R42" s="121"/>
      <c r="S42" s="122"/>
      <c r="T42" s="102"/>
    </row>
    <row r="43" spans="2:20" ht="18">
      <c r="B43" s="79" t="s">
        <v>270</v>
      </c>
      <c r="C43" s="66"/>
      <c r="D43" s="108"/>
      <c r="E43" s="109">
        <f>'A13-Data for tables'!$D$38</f>
        <v>186.26528692380055</v>
      </c>
      <c r="F43" s="103">
        <f t="shared" si="11"/>
        <v>9</v>
      </c>
      <c r="G43" s="102">
        <f t="shared" ref="G43:G52" si="18">E43</f>
        <v>186.26528692380055</v>
      </c>
      <c r="H43" s="45">
        <f t="shared" si="13"/>
        <v>1676.3875823142048</v>
      </c>
      <c r="R43" s="121"/>
      <c r="S43" s="122"/>
      <c r="T43" s="102"/>
    </row>
    <row r="44" spans="2:20">
      <c r="B44" s="79" t="s">
        <v>136</v>
      </c>
      <c r="C44" s="66"/>
      <c r="D44" s="108"/>
      <c r="E44" s="109">
        <f>'A13-Data for tables'!$D$29</f>
        <v>0</v>
      </c>
      <c r="F44" s="103">
        <f t="shared" si="11"/>
        <v>9</v>
      </c>
      <c r="G44" s="102">
        <f>E44</f>
        <v>0</v>
      </c>
      <c r="H44" s="102">
        <f t="shared" si="13"/>
        <v>0</v>
      </c>
      <c r="I44" s="69"/>
    </row>
    <row r="45" spans="2:20">
      <c r="B45" s="80" t="s">
        <v>14</v>
      </c>
      <c r="C45" s="117"/>
      <c r="D45" s="118"/>
      <c r="E45" s="70">
        <f>'A13-Data for tables'!$D$30</f>
        <v>149.01222953904045</v>
      </c>
      <c r="F45" s="103">
        <f t="shared" si="11"/>
        <v>9</v>
      </c>
      <c r="G45" s="102">
        <f t="shared" si="18"/>
        <v>149.01222953904045</v>
      </c>
      <c r="H45" s="45">
        <f t="shared" si="13"/>
        <v>1341.110065851364</v>
      </c>
    </row>
    <row r="46" spans="2:20" ht="18">
      <c r="B46" s="80" t="s">
        <v>271</v>
      </c>
      <c r="C46" s="117"/>
      <c r="D46" s="118"/>
      <c r="E46" s="70">
        <f>'A13-Data for tables'!$C$31</f>
        <v>496.70743179680147</v>
      </c>
      <c r="F46" s="103">
        <f t="shared" si="11"/>
        <v>9</v>
      </c>
      <c r="G46" s="102">
        <f>E46</f>
        <v>496.70743179680147</v>
      </c>
      <c r="H46" s="45">
        <f t="shared" ref="H46" si="19">G46*F46</f>
        <v>4470.3668861712131</v>
      </c>
    </row>
    <row r="47" spans="2:20" ht="18">
      <c r="B47" s="80" t="s">
        <v>272</v>
      </c>
      <c r="C47" s="117"/>
      <c r="D47" s="118"/>
      <c r="E47" s="70">
        <f>SUM('A13-Data for tables'!$D$34:$D$35)</f>
        <v>129.35089369708373</v>
      </c>
      <c r="F47" s="103">
        <f t="shared" si="11"/>
        <v>9</v>
      </c>
      <c r="G47" s="102">
        <f t="shared" si="18"/>
        <v>129.35089369708373</v>
      </c>
      <c r="H47" s="45">
        <f t="shared" si="13"/>
        <v>1164.1580432737537</v>
      </c>
      <c r="T47" s="123"/>
    </row>
    <row r="48" spans="2:20">
      <c r="B48" s="80" t="s">
        <v>67</v>
      </c>
      <c r="C48" s="117"/>
      <c r="D48" s="118"/>
      <c r="E48" s="70">
        <f>'A13-Data for tables'!$D$36</f>
        <v>72.43650047036688</v>
      </c>
      <c r="F48" s="103">
        <f t="shared" si="11"/>
        <v>9</v>
      </c>
      <c r="G48" s="102">
        <f t="shared" si="18"/>
        <v>72.43650047036688</v>
      </c>
      <c r="H48" s="45">
        <f>G48*F48</f>
        <v>651.92850423330196</v>
      </c>
      <c r="T48" s="123"/>
    </row>
    <row r="49" spans="2:9">
      <c r="B49" s="80" t="s">
        <v>115</v>
      </c>
      <c r="C49" s="117"/>
      <c r="D49" s="118"/>
      <c r="E49" s="70">
        <f>'A13-Data for tables'!$D$39</f>
        <v>206.96142991533395</v>
      </c>
      <c r="F49" s="103">
        <f t="shared" si="11"/>
        <v>9</v>
      </c>
      <c r="G49" s="102">
        <f t="shared" si="18"/>
        <v>206.96142991533395</v>
      </c>
      <c r="H49" s="102">
        <f>G49*F49</f>
        <v>1862.6528692380057</v>
      </c>
    </row>
    <row r="50" spans="2:9">
      <c r="B50" s="80" t="s">
        <v>61</v>
      </c>
      <c r="C50" s="102"/>
      <c r="D50" s="119"/>
      <c r="E50" s="68">
        <f>'A13-Data for tables'!$D$40</f>
        <v>139.69896519285041</v>
      </c>
      <c r="F50" s="103">
        <f t="shared" si="11"/>
        <v>9</v>
      </c>
      <c r="G50" s="102">
        <f t="shared" si="18"/>
        <v>139.69896519285041</v>
      </c>
      <c r="H50" s="45">
        <f>F50*G50</f>
        <v>1257.2906867356537</v>
      </c>
    </row>
    <row r="51" spans="2:9">
      <c r="B51" s="80" t="s">
        <v>65</v>
      </c>
      <c r="C51" s="102"/>
      <c r="D51" s="119"/>
      <c r="E51" s="68">
        <f>'A13-Data for tables'!$D$41</f>
        <v>51.740357478833488</v>
      </c>
      <c r="F51" s="103">
        <f t="shared" si="11"/>
        <v>9</v>
      </c>
      <c r="G51" s="102">
        <f t="shared" si="18"/>
        <v>51.740357478833488</v>
      </c>
      <c r="H51" s="45">
        <f>F51*G51</f>
        <v>465.66321730950142</v>
      </c>
    </row>
    <row r="52" spans="2:9" ht="18">
      <c r="B52" s="79" t="s">
        <v>176</v>
      </c>
      <c r="C52" s="121"/>
      <c r="D52" s="122"/>
      <c r="E52" s="68">
        <f>'A13-Data for tables'!$C$42</f>
        <v>310.44214487300093</v>
      </c>
      <c r="F52" s="103">
        <f t="shared" si="11"/>
        <v>9</v>
      </c>
      <c r="G52" s="102">
        <f t="shared" si="18"/>
        <v>310.44214487300093</v>
      </c>
      <c r="H52" s="46">
        <f>F52*G52</f>
        <v>2793.9793038570083</v>
      </c>
    </row>
    <row r="53" spans="2:9" ht="8.4499999999999993" customHeight="1">
      <c r="C53" s="102"/>
      <c r="D53" s="102"/>
      <c r="E53" s="112"/>
      <c r="F53" s="112"/>
      <c r="G53" s="45"/>
      <c r="H53" s="45"/>
    </row>
    <row r="54" spans="2:9">
      <c r="B54" s="76" t="s">
        <v>3</v>
      </c>
      <c r="C54" s="102"/>
      <c r="D54" s="102"/>
      <c r="E54" s="112"/>
      <c r="F54" s="129"/>
      <c r="G54" s="45"/>
      <c r="H54" s="45"/>
    </row>
    <row r="55" spans="2:9" ht="18">
      <c r="B55" s="42" t="s">
        <v>162</v>
      </c>
      <c r="C55" s="66"/>
      <c r="D55" s="130"/>
      <c r="E55" s="109">
        <f>'A13-Data for tables'!$E$24</f>
        <v>1117.5917215428033</v>
      </c>
      <c r="F55" s="103">
        <f>$L$5</f>
        <v>9</v>
      </c>
      <c r="G55" s="102">
        <f t="shared" ref="G55:G56" si="20">E55</f>
        <v>1117.5917215428033</v>
      </c>
      <c r="H55" s="45">
        <f t="shared" ref="H55:H65" si="21">G55*F55</f>
        <v>10058.32549388523</v>
      </c>
      <c r="I55" s="142"/>
    </row>
    <row r="56" spans="2:9" ht="18">
      <c r="B56" s="42" t="s">
        <v>163</v>
      </c>
      <c r="C56" s="131"/>
      <c r="D56" s="130"/>
      <c r="E56" s="109">
        <f>'A13-Data for tables'!$E$25</f>
        <v>298.02445907808089</v>
      </c>
      <c r="F56" s="103">
        <f t="shared" ref="F56:F70" si="22">$L$5</f>
        <v>9</v>
      </c>
      <c r="G56" s="102">
        <f t="shared" si="20"/>
        <v>298.02445907808089</v>
      </c>
      <c r="H56" s="45">
        <f t="shared" si="21"/>
        <v>2682.2201317027279</v>
      </c>
      <c r="I56" s="142"/>
    </row>
    <row r="57" spans="2:9" ht="18">
      <c r="B57" s="42" t="s">
        <v>164</v>
      </c>
      <c r="C57" s="111"/>
      <c r="D57" s="102"/>
      <c r="E57" s="68">
        <f>'A13-Data for tables'!$E$26</f>
        <v>362.18250235183439</v>
      </c>
      <c r="F57" s="103">
        <f t="shared" si="22"/>
        <v>9</v>
      </c>
      <c r="G57" s="102">
        <f t="shared" ref="G57:G59" si="23">E57</f>
        <v>362.18250235183439</v>
      </c>
      <c r="H57" s="45">
        <f t="shared" ref="H57:H59" si="24">G57*F57</f>
        <v>3259.6425211665096</v>
      </c>
      <c r="I57" s="140"/>
    </row>
    <row r="58" spans="2:9" ht="18">
      <c r="B58" s="42" t="s">
        <v>268</v>
      </c>
      <c r="C58" s="111"/>
      <c r="D58" s="102"/>
      <c r="E58" s="68">
        <f>'A13-Data for tables'!$E$27</f>
        <v>124.17685794920037</v>
      </c>
      <c r="F58" s="103">
        <f t="shared" si="22"/>
        <v>9</v>
      </c>
      <c r="G58" s="102">
        <f t="shared" ref="G58" si="25">E58</f>
        <v>124.17685794920037</v>
      </c>
      <c r="H58" s="45">
        <f t="shared" ref="H58" si="26">G58*F58</f>
        <v>1117.5917215428033</v>
      </c>
      <c r="I58" s="140"/>
    </row>
    <row r="59" spans="2:9" ht="18">
      <c r="B59" s="42" t="s">
        <v>280</v>
      </c>
      <c r="C59" s="66"/>
      <c r="D59" s="108"/>
      <c r="E59" s="109">
        <f>'A13-Data for tables'!$E$28</f>
        <v>62.088428974600184</v>
      </c>
      <c r="F59" s="103">
        <f t="shared" si="22"/>
        <v>9</v>
      </c>
      <c r="G59" s="102">
        <f t="shared" si="23"/>
        <v>62.088428974600184</v>
      </c>
      <c r="H59" s="45">
        <f t="shared" si="24"/>
        <v>558.79586077140164</v>
      </c>
      <c r="I59" s="140"/>
    </row>
    <row r="60" spans="2:9">
      <c r="B60" s="42" t="s">
        <v>12</v>
      </c>
      <c r="C60" s="70">
        <f>'A13-Data for tables'!$E$32</f>
        <v>51.740357478833488</v>
      </c>
      <c r="D60" s="132">
        <f>'A13-Data for tables'!$E$33</f>
        <v>1</v>
      </c>
      <c r="E60" s="117">
        <f>$C$60*$D$60</f>
        <v>51.740357478833488</v>
      </c>
      <c r="F60" s="103">
        <f t="shared" si="22"/>
        <v>9</v>
      </c>
      <c r="G60" s="102">
        <f t="shared" ref="G60:G71" si="27">E60</f>
        <v>51.740357478833488</v>
      </c>
      <c r="H60" s="46">
        <f t="shared" si="21"/>
        <v>465.66321730950142</v>
      </c>
      <c r="I60" s="71"/>
    </row>
    <row r="61" spans="2:9" ht="18">
      <c r="B61" s="79" t="s">
        <v>270</v>
      </c>
      <c r="C61" s="66"/>
      <c r="D61" s="108"/>
      <c r="E61" s="109">
        <f>'A13-Data for tables'!$E$38</f>
        <v>186.26528692380055</v>
      </c>
      <c r="F61" s="103">
        <f t="shared" si="22"/>
        <v>9</v>
      </c>
      <c r="G61" s="102">
        <f t="shared" si="27"/>
        <v>186.26528692380055</v>
      </c>
      <c r="H61" s="45">
        <f t="shared" si="21"/>
        <v>1676.3875823142048</v>
      </c>
    </row>
    <row r="62" spans="2:9">
      <c r="B62" s="79" t="s">
        <v>136</v>
      </c>
      <c r="C62" s="66"/>
      <c r="D62" s="108"/>
      <c r="E62" s="109">
        <f>'A13-Data for tables'!$E$29</f>
        <v>0</v>
      </c>
      <c r="F62" s="103">
        <f t="shared" si="22"/>
        <v>9</v>
      </c>
      <c r="G62" s="102">
        <f>E62</f>
        <v>0</v>
      </c>
      <c r="H62" s="102">
        <f t="shared" si="21"/>
        <v>0</v>
      </c>
      <c r="I62" s="69"/>
    </row>
    <row r="63" spans="2:9">
      <c r="B63" s="80" t="s">
        <v>14</v>
      </c>
      <c r="C63" s="116"/>
      <c r="D63" s="127"/>
      <c r="E63" s="70">
        <f>'A13-Data for tables'!$E$30</f>
        <v>149.01222953904045</v>
      </c>
      <c r="F63" s="103">
        <f t="shared" si="22"/>
        <v>9</v>
      </c>
      <c r="G63" s="102">
        <f t="shared" si="27"/>
        <v>149.01222953904045</v>
      </c>
      <c r="H63" s="45">
        <f t="shared" si="21"/>
        <v>1341.110065851364</v>
      </c>
    </row>
    <row r="64" spans="2:9" ht="18">
      <c r="B64" s="80" t="s">
        <v>271</v>
      </c>
      <c r="C64" s="116"/>
      <c r="D64" s="127"/>
      <c r="E64" s="70">
        <f>'A13-Data for tables'!$E$31</f>
        <v>496.70743179680147</v>
      </c>
      <c r="F64" s="103">
        <f t="shared" si="22"/>
        <v>9</v>
      </c>
      <c r="G64" s="102">
        <f t="shared" si="27"/>
        <v>496.70743179680147</v>
      </c>
      <c r="H64" s="45">
        <f t="shared" ref="H64" si="28">G64*F64</f>
        <v>4470.3668861712131</v>
      </c>
    </row>
    <row r="65" spans="2:13" ht="18">
      <c r="B65" s="80" t="s">
        <v>272</v>
      </c>
      <c r="C65" s="116"/>
      <c r="D65" s="127"/>
      <c r="E65" s="70">
        <f>SUM('A13-Data for tables'!$E$34:$E$35)</f>
        <v>155.22107243650046</v>
      </c>
      <c r="F65" s="103">
        <f t="shared" si="22"/>
        <v>9</v>
      </c>
      <c r="G65" s="102">
        <f t="shared" si="27"/>
        <v>155.22107243650046</v>
      </c>
      <c r="H65" s="45">
        <f t="shared" si="21"/>
        <v>1396.9896519285041</v>
      </c>
      <c r="I65" s="72"/>
    </row>
    <row r="66" spans="2:13">
      <c r="B66" s="80" t="s">
        <v>67</v>
      </c>
      <c r="C66" s="116"/>
      <c r="D66" s="127"/>
      <c r="E66" s="70">
        <f>'A13-Data for tables'!$E$36</f>
        <v>113.82878645343368</v>
      </c>
      <c r="F66" s="103">
        <f t="shared" si="22"/>
        <v>9</v>
      </c>
      <c r="G66" s="102">
        <f t="shared" si="27"/>
        <v>113.82878645343368</v>
      </c>
      <c r="H66" s="45">
        <f>G66*F66</f>
        <v>1024.4590780809031</v>
      </c>
      <c r="I66" s="72"/>
    </row>
    <row r="67" spans="2:13">
      <c r="B67" s="80" t="s">
        <v>115</v>
      </c>
      <c r="C67" s="117"/>
      <c r="D67" s="118"/>
      <c r="E67" s="70">
        <f>'A13-Data for tables'!$E$39</f>
        <v>206.96142991533395</v>
      </c>
      <c r="F67" s="103">
        <f t="shared" si="22"/>
        <v>9</v>
      </c>
      <c r="G67" s="102">
        <f t="shared" si="27"/>
        <v>206.96142991533395</v>
      </c>
      <c r="H67" s="102">
        <f>G67*F67</f>
        <v>1862.6528692380057</v>
      </c>
    </row>
    <row r="68" spans="2:13">
      <c r="B68" s="80" t="s">
        <v>61</v>
      </c>
      <c r="C68" s="102"/>
      <c r="D68" s="102"/>
      <c r="E68" s="68">
        <f>'A13-Data for tables'!$E$40</f>
        <v>139.69896519285041</v>
      </c>
      <c r="F68" s="103">
        <f t="shared" si="22"/>
        <v>9</v>
      </c>
      <c r="G68" s="102">
        <f t="shared" si="27"/>
        <v>139.69896519285041</v>
      </c>
      <c r="H68" s="102">
        <f>F68*G68</f>
        <v>1257.2906867356537</v>
      </c>
    </row>
    <row r="69" spans="2:13">
      <c r="B69" s="80" t="s">
        <v>65</v>
      </c>
      <c r="C69" s="102"/>
      <c r="D69" s="102"/>
      <c r="E69" s="68">
        <f>'A13-Data for tables'!$E$41</f>
        <v>51.740357478833488</v>
      </c>
      <c r="F69" s="103">
        <f t="shared" si="22"/>
        <v>9</v>
      </c>
      <c r="G69" s="102">
        <f t="shared" si="27"/>
        <v>51.740357478833488</v>
      </c>
      <c r="H69" s="102">
        <f>F69*G69</f>
        <v>465.66321730950142</v>
      </c>
      <c r="I69" s="72"/>
    </row>
    <row r="70" spans="2:13" ht="18">
      <c r="B70" s="79" t="s">
        <v>176</v>
      </c>
      <c r="C70" s="102"/>
      <c r="D70" s="102"/>
      <c r="E70" s="68">
        <f>'A13-Data for tables'!$E$42</f>
        <v>310.44214487300093</v>
      </c>
      <c r="F70" s="103">
        <f t="shared" si="22"/>
        <v>9</v>
      </c>
      <c r="G70" s="102">
        <f t="shared" si="27"/>
        <v>310.44214487300093</v>
      </c>
      <c r="H70" s="117">
        <f>F70*G70</f>
        <v>2793.9793038570083</v>
      </c>
      <c r="I70" s="72"/>
    </row>
    <row r="71" spans="2:13">
      <c r="B71" s="65" t="s">
        <v>66</v>
      </c>
      <c r="C71" s="68">
        <f>'A13-Data for tables'!$E$37</f>
        <v>83.819379115710248</v>
      </c>
      <c r="D71" s="162">
        <f>'A13-Data for tables'!$E$4</f>
        <v>5</v>
      </c>
      <c r="E71" s="45">
        <f>C71*D71</f>
        <v>419.09689557855125</v>
      </c>
      <c r="F71" s="103">
        <f>$L$5</f>
        <v>9</v>
      </c>
      <c r="G71" s="102">
        <f t="shared" si="27"/>
        <v>419.09689557855125</v>
      </c>
      <c r="H71" s="45">
        <f>F71*G71</f>
        <v>3771.8720602069611</v>
      </c>
      <c r="I71" s="72"/>
    </row>
    <row r="72" spans="2:13" ht="8.4499999999999993" customHeight="1">
      <c r="B72" s="83"/>
      <c r="C72" s="127"/>
      <c r="D72" s="133"/>
      <c r="E72" s="45"/>
      <c r="F72" s="103"/>
      <c r="G72" s="45"/>
      <c r="H72" s="45"/>
      <c r="I72" s="73"/>
      <c r="J72" s="105"/>
    </row>
    <row r="73" spans="2:13">
      <c r="B73" s="84" t="s">
        <v>4</v>
      </c>
      <c r="C73" s="127"/>
      <c r="D73" s="102"/>
      <c r="E73" s="112"/>
      <c r="F73" s="129"/>
      <c r="G73" s="45"/>
      <c r="H73" s="45"/>
      <c r="I73" s="73"/>
      <c r="J73" s="105"/>
    </row>
    <row r="74" spans="2:13" ht="18">
      <c r="B74" s="42" t="s">
        <v>162</v>
      </c>
      <c r="C74" s="66"/>
      <c r="D74" s="134"/>
      <c r="E74" s="109">
        <f>'A13-Data for tables'!$F$24</f>
        <v>1490.1222953904044</v>
      </c>
      <c r="F74" s="103">
        <f t="shared" ref="F74:F89" si="29">$L$5</f>
        <v>9</v>
      </c>
      <c r="G74" s="102">
        <f t="shared" ref="G74:G75" si="30">E74</f>
        <v>1490.1222953904044</v>
      </c>
      <c r="H74" s="45">
        <f t="shared" ref="H74:H84" si="31">G74*F74</f>
        <v>13411.100658513638</v>
      </c>
      <c r="I74" s="140"/>
      <c r="J74" s="105"/>
    </row>
    <row r="75" spans="2:13" ht="18">
      <c r="B75" s="42" t="s">
        <v>163</v>
      </c>
      <c r="C75" s="66"/>
      <c r="D75" s="134"/>
      <c r="E75" s="109">
        <f>'A13-Data for tables'!$F$25</f>
        <v>596.04891815616179</v>
      </c>
      <c r="F75" s="103">
        <f t="shared" si="29"/>
        <v>9</v>
      </c>
      <c r="G75" s="102">
        <f t="shared" si="30"/>
        <v>596.04891815616179</v>
      </c>
      <c r="H75" s="45">
        <f t="shared" si="31"/>
        <v>5364.4402634054559</v>
      </c>
      <c r="I75" s="140"/>
      <c r="J75" s="105"/>
      <c r="M75" s="72"/>
    </row>
    <row r="76" spans="2:13" ht="18">
      <c r="B76" s="42" t="s">
        <v>164</v>
      </c>
      <c r="C76" s="127"/>
      <c r="D76" s="102"/>
      <c r="E76" s="68">
        <f>'A13-Data for tables'!$F$26</f>
        <v>362.18250235183439</v>
      </c>
      <c r="F76" s="103">
        <f t="shared" si="29"/>
        <v>9</v>
      </c>
      <c r="G76" s="102">
        <f t="shared" ref="G76:G77" si="32">E76</f>
        <v>362.18250235183439</v>
      </c>
      <c r="H76" s="45">
        <f t="shared" ref="H76:H77" si="33">G76*F76</f>
        <v>3259.6425211665096</v>
      </c>
      <c r="I76" s="143"/>
      <c r="J76" s="105"/>
    </row>
    <row r="77" spans="2:13" ht="18">
      <c r="B77" s="42" t="s">
        <v>268</v>
      </c>
      <c r="C77" s="127"/>
      <c r="D77" s="102"/>
      <c r="E77" s="68">
        <f>'A13-Data for tables'!$F$27</f>
        <v>124.17685794920037</v>
      </c>
      <c r="F77" s="103">
        <f t="shared" si="29"/>
        <v>9</v>
      </c>
      <c r="G77" s="102">
        <f t="shared" si="32"/>
        <v>124.17685794920037</v>
      </c>
      <c r="H77" s="45">
        <f t="shared" si="33"/>
        <v>1117.5917215428033</v>
      </c>
      <c r="I77" s="143"/>
      <c r="J77" s="105"/>
    </row>
    <row r="78" spans="2:13" ht="18">
      <c r="B78" s="42" t="s">
        <v>280</v>
      </c>
      <c r="C78" s="66"/>
      <c r="D78" s="108"/>
      <c r="E78" s="109">
        <f>'A13-Data for tables'!$F$28</f>
        <v>62.088428974600184</v>
      </c>
      <c r="F78" s="103">
        <f t="shared" si="29"/>
        <v>9</v>
      </c>
      <c r="G78" s="102">
        <f t="shared" ref="G78" si="34">E78</f>
        <v>62.088428974600184</v>
      </c>
      <c r="H78" s="45">
        <f t="shared" ref="H78" si="35">G78*F78</f>
        <v>558.79586077140164</v>
      </c>
      <c r="I78" s="143"/>
      <c r="J78" s="105"/>
    </row>
    <row r="79" spans="2:13">
      <c r="B79" s="42" t="s">
        <v>12</v>
      </c>
      <c r="C79" s="70">
        <f>'A13-Data for tables'!$F$32</f>
        <v>51.740357478833488</v>
      </c>
      <c r="D79" s="132">
        <f>'A13-Data for tables'!$F$33</f>
        <v>1</v>
      </c>
      <c r="E79" s="117">
        <f>$C$79*$D$79</f>
        <v>51.740357478833488</v>
      </c>
      <c r="F79" s="103">
        <f t="shared" si="29"/>
        <v>9</v>
      </c>
      <c r="G79" s="102">
        <f t="shared" ref="G79:G90" si="36">E79</f>
        <v>51.740357478833488</v>
      </c>
      <c r="H79" s="46">
        <f t="shared" si="31"/>
        <v>465.66321730950142</v>
      </c>
      <c r="I79" s="73"/>
      <c r="J79" s="105"/>
    </row>
    <row r="80" spans="2:13" ht="18">
      <c r="B80" s="79" t="s">
        <v>270</v>
      </c>
      <c r="C80" s="66"/>
      <c r="D80" s="108"/>
      <c r="E80" s="109">
        <f>'A13-Data for tables'!$F$38</f>
        <v>186.26528692380055</v>
      </c>
      <c r="F80" s="103">
        <f t="shared" si="29"/>
        <v>9</v>
      </c>
      <c r="G80" s="102">
        <f t="shared" si="36"/>
        <v>186.26528692380055</v>
      </c>
      <c r="H80" s="45">
        <f t="shared" si="31"/>
        <v>1676.3875823142048</v>
      </c>
      <c r="I80" s="74"/>
      <c r="J80" s="105"/>
    </row>
    <row r="81" spans="2:10">
      <c r="B81" s="79" t="s">
        <v>136</v>
      </c>
      <c r="C81" s="66"/>
      <c r="D81" s="108"/>
      <c r="E81" s="70">
        <f>'A13-Data for tables'!$F$29</f>
        <v>0</v>
      </c>
      <c r="F81" s="103">
        <f t="shared" si="29"/>
        <v>9</v>
      </c>
      <c r="G81" s="102">
        <f t="shared" ref="G81" si="37">E81</f>
        <v>0</v>
      </c>
      <c r="H81" s="45">
        <f t="shared" ref="H81" si="38">G81*F81</f>
        <v>0</v>
      </c>
      <c r="I81" s="74"/>
      <c r="J81" s="105"/>
    </row>
    <row r="82" spans="2:10">
      <c r="B82" s="80" t="s">
        <v>14</v>
      </c>
      <c r="C82" s="116"/>
      <c r="D82" s="116"/>
      <c r="E82" s="70">
        <f>'A13-Data for tables'!$F$30</f>
        <v>149.01222953904045</v>
      </c>
      <c r="F82" s="103">
        <f t="shared" si="29"/>
        <v>9</v>
      </c>
      <c r="G82" s="102">
        <f t="shared" si="36"/>
        <v>149.01222953904045</v>
      </c>
      <c r="H82" s="45">
        <f t="shared" si="31"/>
        <v>1341.110065851364</v>
      </c>
      <c r="I82" s="73"/>
      <c r="J82" s="105"/>
    </row>
    <row r="83" spans="2:10" ht="18">
      <c r="B83" s="80" t="s">
        <v>271</v>
      </c>
      <c r="C83" s="116"/>
      <c r="D83" s="116"/>
      <c r="E83" s="70">
        <f>'A13-Data for tables'!$F$31</f>
        <v>496.70743179680147</v>
      </c>
      <c r="F83" s="103">
        <f t="shared" si="29"/>
        <v>9</v>
      </c>
      <c r="G83" s="102">
        <f t="shared" si="36"/>
        <v>496.70743179680147</v>
      </c>
      <c r="H83" s="45">
        <f t="shared" ref="H83" si="39">G83*F83</f>
        <v>4470.3668861712131</v>
      </c>
      <c r="I83" s="73"/>
      <c r="J83" s="105"/>
    </row>
    <row r="84" spans="2:10" ht="18">
      <c r="B84" s="80" t="s">
        <v>272</v>
      </c>
      <c r="C84" s="116"/>
      <c r="D84" s="116"/>
      <c r="E84" s="70">
        <f>SUM('A13-Data for tables'!$F$34:$F$35)</f>
        <v>175.91721542803384</v>
      </c>
      <c r="F84" s="103">
        <f t="shared" si="29"/>
        <v>9</v>
      </c>
      <c r="G84" s="102">
        <f t="shared" si="36"/>
        <v>175.91721542803384</v>
      </c>
      <c r="H84" s="45">
        <f t="shared" si="31"/>
        <v>1583.2549388523046</v>
      </c>
      <c r="J84" s="105"/>
    </row>
    <row r="85" spans="2:10">
      <c r="B85" s="80" t="s">
        <v>67</v>
      </c>
      <c r="C85" s="116"/>
      <c r="D85" s="116"/>
      <c r="E85" s="70">
        <f>'A13-Data for tables'!$F$36</f>
        <v>134.52492944496706</v>
      </c>
      <c r="F85" s="103">
        <f t="shared" si="29"/>
        <v>9</v>
      </c>
      <c r="G85" s="102">
        <f t="shared" si="36"/>
        <v>134.52492944496706</v>
      </c>
      <c r="H85" s="45">
        <f>G85*F85</f>
        <v>1210.7243650047035</v>
      </c>
      <c r="J85" s="105"/>
    </row>
    <row r="86" spans="2:10">
      <c r="B86" s="80" t="s">
        <v>115</v>
      </c>
      <c r="C86" s="117"/>
      <c r="D86" s="118"/>
      <c r="E86" s="70">
        <f>'A13-Data for tables'!$F$39</f>
        <v>206.96142991533395</v>
      </c>
      <c r="F86" s="103">
        <f t="shared" si="29"/>
        <v>9</v>
      </c>
      <c r="G86" s="102">
        <f t="shared" si="36"/>
        <v>206.96142991533395</v>
      </c>
      <c r="H86" s="102">
        <f>G86*F86</f>
        <v>1862.6528692380057</v>
      </c>
    </row>
    <row r="87" spans="2:10">
      <c r="B87" s="80" t="s">
        <v>61</v>
      </c>
      <c r="C87" s="116"/>
      <c r="D87" s="116"/>
      <c r="E87" s="68">
        <f>'A13-Data for tables'!$F$40</f>
        <v>139.69896519285041</v>
      </c>
      <c r="F87" s="103">
        <f t="shared" si="29"/>
        <v>9</v>
      </c>
      <c r="G87" s="102">
        <f t="shared" si="36"/>
        <v>139.69896519285041</v>
      </c>
      <c r="H87" s="45">
        <f>F87*G87</f>
        <v>1257.2906867356537</v>
      </c>
    </row>
    <row r="88" spans="2:10">
      <c r="B88" s="80" t="s">
        <v>65</v>
      </c>
      <c r="C88" s="116"/>
      <c r="D88" s="116"/>
      <c r="E88" s="68">
        <f>'A13-Data for tables'!$F$41</f>
        <v>51.740357478833488</v>
      </c>
      <c r="F88" s="103">
        <f t="shared" si="29"/>
        <v>9</v>
      </c>
      <c r="G88" s="102">
        <f t="shared" si="36"/>
        <v>51.740357478833488</v>
      </c>
      <c r="H88" s="45">
        <f>F88*G88</f>
        <v>465.66321730950142</v>
      </c>
    </row>
    <row r="89" spans="2:10" ht="18">
      <c r="B89" s="79" t="s">
        <v>176</v>
      </c>
      <c r="C89" s="116"/>
      <c r="D89" s="116"/>
      <c r="E89" s="68">
        <f>'A13-Data for tables'!$F$42</f>
        <v>310.44214487300093</v>
      </c>
      <c r="F89" s="103">
        <f t="shared" si="29"/>
        <v>9</v>
      </c>
      <c r="G89" s="102">
        <f t="shared" si="36"/>
        <v>310.44214487300093</v>
      </c>
      <c r="H89" s="46">
        <f>F89*G89</f>
        <v>2793.9793038570083</v>
      </c>
    </row>
    <row r="90" spans="2:10">
      <c r="B90" s="342" t="s">
        <v>66</v>
      </c>
      <c r="C90" s="304">
        <f>'A13-Data for tables'!$F$37</f>
        <v>83.819379115710248</v>
      </c>
      <c r="D90" s="305">
        <f>'A13-Data for tables'!$F$4</f>
        <v>12</v>
      </c>
      <c r="E90" s="306">
        <f>C90*D90</f>
        <v>1005.8325493885229</v>
      </c>
      <c r="F90" s="307">
        <f>$L$5</f>
        <v>9</v>
      </c>
      <c r="G90" s="308">
        <f t="shared" si="36"/>
        <v>1005.8325493885229</v>
      </c>
      <c r="H90" s="306">
        <f>F90*G90</f>
        <v>9052.4929444967056</v>
      </c>
    </row>
    <row r="91" spans="2:10">
      <c r="B91" s="385" t="s">
        <v>121</v>
      </c>
      <c r="C91" s="70"/>
      <c r="D91" s="383"/>
      <c r="E91" s="46"/>
      <c r="F91" s="384"/>
      <c r="G91" s="117"/>
      <c r="H91" s="46"/>
    </row>
    <row r="92" spans="2:10">
      <c r="B92" s="60" t="s">
        <v>273</v>
      </c>
      <c r="C92" s="135"/>
      <c r="G92" s="91"/>
    </row>
    <row r="93" spans="2:10">
      <c r="B93" s="60" t="s">
        <v>274</v>
      </c>
      <c r="C93" s="135"/>
      <c r="G93" s="91"/>
    </row>
    <row r="94" spans="2:10">
      <c r="B94" s="60" t="s">
        <v>364</v>
      </c>
      <c r="C94" s="135"/>
      <c r="G94" s="91"/>
    </row>
    <row r="95" spans="2:10">
      <c r="B95" s="60" t="s">
        <v>275</v>
      </c>
      <c r="G95" s="91"/>
    </row>
    <row r="96" spans="2:10">
      <c r="B96" s="60" t="s">
        <v>276</v>
      </c>
      <c r="G96" s="91"/>
    </row>
    <row r="97" spans="2:7">
      <c r="B97" s="60" t="s">
        <v>277</v>
      </c>
      <c r="G97" s="91"/>
    </row>
    <row r="98" spans="2:7">
      <c r="B98" s="60" t="s">
        <v>365</v>
      </c>
      <c r="G98" s="91"/>
    </row>
    <row r="99" spans="2:7">
      <c r="B99" s="60" t="s">
        <v>279</v>
      </c>
      <c r="G99" s="91"/>
    </row>
    <row r="100" spans="2:7">
      <c r="B100" s="60" t="s">
        <v>178</v>
      </c>
      <c r="G100" s="91"/>
    </row>
    <row r="101" spans="2:7">
      <c r="B101" s="60" t="s">
        <v>278</v>
      </c>
      <c r="G101" s="91"/>
    </row>
    <row r="102" spans="2:7">
      <c r="B102" s="60"/>
      <c r="G102" s="91"/>
    </row>
  </sheetData>
  <protectedRanges>
    <protectedRange sqref="C5:E91" name="Range2"/>
    <protectedRange sqref="L4:L6" name="Acres"/>
  </protectedRanges>
  <mergeCells count="1">
    <mergeCell ref="B2:H2"/>
  </mergeCells>
  <phoneticPr fontId="21" type="noConversion"/>
  <pageMargins left="0.7" right="0.7" top="0.75" bottom="0.75" header="0.3" footer="0.3"/>
  <pageSetup orientation="portrait"/>
  <ignoredErrors>
    <ignoredError sqref="L6 E86 E28:E29 E9:E10 E80 E81 E87:E88 E63 E82 E89 E65:E69 E6:E8 E16:E19 E90 E11:E14 E23:E24 E30:E37 E47:E52 E43 E45 E40:E42 E46 E44 E57:E59 E70 E84:E85 C83:D83 C84:D85 C78:D78 C64:D64 C14 C89:D89 C70:D70 C82:D82 C63:D63 C87:D88 C68:D69 C80:D80 C60:D61 C79:D79 C65:D66 C12 C13:D13 D12 C67:D67 C81:D81 C62:D62 C71:D77 C90:D90 C15:D59 D14 C86:D86" unlocked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B2:L30"/>
  <sheetViews>
    <sheetView workbookViewId="0">
      <selection activeCell="B2" sqref="B2:H2"/>
    </sheetView>
  </sheetViews>
  <sheetFormatPr defaultColWidth="9.140625" defaultRowHeight="15"/>
  <cols>
    <col min="1" max="1" width="6.7109375" style="43" customWidth="1"/>
    <col min="2" max="2" width="44.7109375" style="43" customWidth="1"/>
    <col min="3" max="3" width="13.42578125" style="43" customWidth="1"/>
    <col min="4" max="4" width="12.7109375" style="43" customWidth="1"/>
    <col min="5" max="5" width="13.140625" style="43" customWidth="1"/>
    <col min="6" max="6" width="12.85546875" style="43" customWidth="1"/>
    <col min="7" max="8" width="14.42578125" style="43" customWidth="1"/>
    <col min="9" max="9" width="4.42578125" style="43" customWidth="1"/>
    <col min="10" max="10" width="10.140625" style="43" customWidth="1"/>
    <col min="11" max="11" width="10.7109375" style="43" customWidth="1"/>
    <col min="12" max="12" width="3.7109375" style="43" customWidth="1"/>
    <col min="13" max="16384" width="9.140625" style="43"/>
  </cols>
  <sheetData>
    <row r="2" spans="2:12" ht="39" customHeight="1">
      <c r="B2" s="465" t="s">
        <v>386</v>
      </c>
      <c r="C2" s="465"/>
      <c r="D2" s="465"/>
      <c r="E2" s="465"/>
      <c r="F2" s="465"/>
      <c r="G2" s="465"/>
      <c r="H2" s="465"/>
    </row>
    <row r="3" spans="2:12" ht="29.25">
      <c r="B3" s="75"/>
      <c r="C3" s="100" t="s">
        <v>32</v>
      </c>
      <c r="D3" s="100" t="s">
        <v>30</v>
      </c>
      <c r="E3" s="100" t="s">
        <v>33</v>
      </c>
      <c r="F3" s="100" t="s">
        <v>31</v>
      </c>
      <c r="G3" s="101" t="s">
        <v>34</v>
      </c>
      <c r="H3" s="101" t="s">
        <v>35</v>
      </c>
    </row>
    <row r="4" spans="2:12" ht="18">
      <c r="B4" s="42" t="s">
        <v>169</v>
      </c>
      <c r="C4" s="66"/>
      <c r="D4" s="134"/>
      <c r="E4" s="109">
        <f>'A13-Data for tables'!$G$24</f>
        <v>1303.8570084666039</v>
      </c>
      <c r="F4" s="103">
        <f>$L$4</f>
        <v>9</v>
      </c>
      <c r="G4" s="45">
        <f>E4</f>
        <v>1303.8570084666039</v>
      </c>
      <c r="H4" s="45">
        <f t="shared" ref="H4:H14" si="0">G4*F4</f>
        <v>11734.713076199436</v>
      </c>
      <c r="J4" s="72" t="s">
        <v>59</v>
      </c>
      <c r="L4" s="159">
        <v>9</v>
      </c>
    </row>
    <row r="5" spans="2:12" ht="18">
      <c r="B5" s="42" t="s">
        <v>170</v>
      </c>
      <c r="C5" s="66"/>
      <c r="D5" s="134"/>
      <c r="E5" s="109">
        <f>'A13-Data for tables'!$G$25</f>
        <v>596.04891815616179</v>
      </c>
      <c r="F5" s="103">
        <f t="shared" ref="F5:F21" si="1">$L$4</f>
        <v>9</v>
      </c>
      <c r="G5" s="45">
        <f>E5</f>
        <v>596.04891815616179</v>
      </c>
      <c r="H5" s="45">
        <f t="shared" si="0"/>
        <v>5364.4402634054559</v>
      </c>
      <c r="L5" s="136"/>
    </row>
    <row r="6" spans="2:12" ht="18">
      <c r="B6" s="42" t="s">
        <v>171</v>
      </c>
      <c r="C6" s="111"/>
      <c r="D6" s="134"/>
      <c r="E6" s="68">
        <f>'A13-Data for tables'!$G$26</f>
        <v>362.18250235183439</v>
      </c>
      <c r="F6" s="103">
        <f t="shared" si="1"/>
        <v>9</v>
      </c>
      <c r="G6" s="45">
        <f t="shared" ref="G6:G8" si="2">E6</f>
        <v>362.18250235183439</v>
      </c>
      <c r="H6" s="45">
        <f t="shared" ref="H6:H8" si="3">G6*F6</f>
        <v>3259.6425211665096</v>
      </c>
    </row>
    <row r="7" spans="2:12" ht="18">
      <c r="B7" s="42" t="s">
        <v>260</v>
      </c>
      <c r="C7" s="111"/>
      <c r="D7" s="134"/>
      <c r="E7" s="68">
        <f>'A13-Data for tables'!$G$27</f>
        <v>124.17685794920037</v>
      </c>
      <c r="F7" s="103">
        <f t="shared" si="1"/>
        <v>9</v>
      </c>
      <c r="G7" s="45">
        <f t="shared" si="2"/>
        <v>124.17685794920037</v>
      </c>
      <c r="H7" s="45">
        <f t="shared" si="3"/>
        <v>1117.5917215428033</v>
      </c>
    </row>
    <row r="8" spans="2:12" ht="18">
      <c r="B8" s="42" t="s">
        <v>172</v>
      </c>
      <c r="C8" s="66"/>
      <c r="D8" s="108"/>
      <c r="E8" s="109">
        <f>'A13-Data for tables'!$G$28</f>
        <v>256.63217309501408</v>
      </c>
      <c r="F8" s="103">
        <f t="shared" si="1"/>
        <v>9</v>
      </c>
      <c r="G8" s="45">
        <f t="shared" si="2"/>
        <v>256.63217309501408</v>
      </c>
      <c r="H8" s="45">
        <f t="shared" si="3"/>
        <v>2309.6895578551266</v>
      </c>
    </row>
    <row r="9" spans="2:12">
      <c r="B9" s="42" t="s">
        <v>12</v>
      </c>
      <c r="C9" s="70">
        <f>'A13-Data for tables'!$G$32</f>
        <v>51.740357478833488</v>
      </c>
      <c r="D9" s="132">
        <f>'A13-Data for tables'!$G$33</f>
        <v>1</v>
      </c>
      <c r="E9" s="117">
        <f>$C$9*$D$9</f>
        <v>51.740357478833488</v>
      </c>
      <c r="F9" s="103">
        <f t="shared" si="1"/>
        <v>9</v>
      </c>
      <c r="G9" s="46">
        <f>E9</f>
        <v>51.740357478833488</v>
      </c>
      <c r="H9" s="46">
        <f t="shared" si="0"/>
        <v>465.66321730950142</v>
      </c>
    </row>
    <row r="10" spans="2:12" ht="18">
      <c r="B10" s="79" t="s">
        <v>173</v>
      </c>
      <c r="C10" s="66"/>
      <c r="D10" s="108"/>
      <c r="E10" s="109">
        <f>'A13-Data for tables'!$G$38</f>
        <v>186.26528692380055</v>
      </c>
      <c r="F10" s="103">
        <f t="shared" si="1"/>
        <v>9</v>
      </c>
      <c r="G10" s="46">
        <f t="shared" ref="G10:G21" si="4">E10</f>
        <v>186.26528692380055</v>
      </c>
      <c r="H10" s="45">
        <f t="shared" si="0"/>
        <v>1676.3875823142048</v>
      </c>
    </row>
    <row r="11" spans="2:12">
      <c r="B11" s="79" t="s">
        <v>136</v>
      </c>
      <c r="C11" s="66"/>
      <c r="D11" s="108"/>
      <c r="E11" s="109">
        <f>'A13-Data for tables'!$G$29</f>
        <v>0</v>
      </c>
      <c r="F11" s="103">
        <f t="shared" si="1"/>
        <v>9</v>
      </c>
      <c r="G11" s="46">
        <f t="shared" ref="G11" si="5">E11</f>
        <v>0</v>
      </c>
      <c r="H11" s="45">
        <f t="shared" ref="H11" si="6">G11*F11</f>
        <v>0</v>
      </c>
    </row>
    <row r="12" spans="2:12">
      <c r="B12" s="80" t="s">
        <v>14</v>
      </c>
      <c r="C12" s="111"/>
      <c r="D12" s="102"/>
      <c r="E12" s="70">
        <f>'A13-Data for tables'!$G$30</f>
        <v>149.01222953904045</v>
      </c>
      <c r="F12" s="103">
        <f t="shared" si="1"/>
        <v>9</v>
      </c>
      <c r="G12" s="46">
        <f t="shared" si="4"/>
        <v>149.01222953904045</v>
      </c>
      <c r="H12" s="45">
        <f t="shared" si="0"/>
        <v>1341.110065851364</v>
      </c>
    </row>
    <row r="13" spans="2:12" ht="18">
      <c r="B13" s="80" t="s">
        <v>174</v>
      </c>
      <c r="C13" s="111"/>
      <c r="D13" s="102"/>
      <c r="E13" s="70">
        <f>'A13-Data for tables'!$G$31</f>
        <v>496.70743179680147</v>
      </c>
      <c r="F13" s="103">
        <f t="shared" si="1"/>
        <v>9</v>
      </c>
      <c r="G13" s="46">
        <f t="shared" si="4"/>
        <v>496.70743179680147</v>
      </c>
      <c r="H13" s="45">
        <f t="shared" ref="H13" si="7">G13*F13</f>
        <v>4470.3668861712131</v>
      </c>
    </row>
    <row r="14" spans="2:12" ht="18">
      <c r="B14" s="80" t="s">
        <v>175</v>
      </c>
      <c r="C14" s="111"/>
      <c r="D14" s="102"/>
      <c r="E14" s="70">
        <f>SUM('A13-Data for tables'!$G$34:$G$35)</f>
        <v>196.61335841956725</v>
      </c>
      <c r="F14" s="103">
        <f t="shared" si="1"/>
        <v>9</v>
      </c>
      <c r="G14" s="46">
        <f t="shared" si="4"/>
        <v>196.61335841956725</v>
      </c>
      <c r="H14" s="45">
        <f t="shared" si="0"/>
        <v>1769.5202257761052</v>
      </c>
    </row>
    <row r="15" spans="2:12">
      <c r="B15" s="80" t="s">
        <v>67</v>
      </c>
      <c r="C15" s="111"/>
      <c r="D15" s="102"/>
      <c r="E15" s="70">
        <f>'A13-Data for tables'!$G$36</f>
        <v>144.87300094073376</v>
      </c>
      <c r="F15" s="103">
        <f t="shared" si="1"/>
        <v>9</v>
      </c>
      <c r="G15" s="46">
        <f t="shared" si="4"/>
        <v>144.87300094073376</v>
      </c>
      <c r="H15" s="45">
        <f>G15*F15</f>
        <v>1303.8570084666039</v>
      </c>
    </row>
    <row r="16" spans="2:12">
      <c r="B16" s="80" t="s">
        <v>115</v>
      </c>
      <c r="C16" s="117"/>
      <c r="D16" s="118"/>
      <c r="E16" s="70">
        <f>'A13-Data for tables'!$G$39</f>
        <v>206.96142991533395</v>
      </c>
      <c r="F16" s="103">
        <f t="shared" si="1"/>
        <v>9</v>
      </c>
      <c r="G16" s="102">
        <f t="shared" si="4"/>
        <v>206.96142991533395</v>
      </c>
      <c r="H16" s="102">
        <f>G16*F16</f>
        <v>1862.6528692380057</v>
      </c>
    </row>
    <row r="17" spans="2:8">
      <c r="B17" s="80" t="s">
        <v>61</v>
      </c>
      <c r="C17" s="111"/>
      <c r="D17" s="102"/>
      <c r="E17" s="68">
        <f>'A13-Data for tables'!$G$40</f>
        <v>139.69896519285041</v>
      </c>
      <c r="F17" s="103">
        <f t="shared" si="1"/>
        <v>9</v>
      </c>
      <c r="G17" s="46">
        <f t="shared" si="4"/>
        <v>139.69896519285041</v>
      </c>
      <c r="H17" s="45">
        <f>F17*G17</f>
        <v>1257.2906867356537</v>
      </c>
    </row>
    <row r="18" spans="2:8">
      <c r="B18" s="80" t="s">
        <v>65</v>
      </c>
      <c r="C18" s="111"/>
      <c r="D18" s="102"/>
      <c r="E18" s="68">
        <f>'A13-Data for tables'!$G$41</f>
        <v>51.740357478833488</v>
      </c>
      <c r="F18" s="103">
        <f t="shared" si="1"/>
        <v>9</v>
      </c>
      <c r="G18" s="46">
        <f t="shared" si="4"/>
        <v>51.740357478833488</v>
      </c>
      <c r="H18" s="45">
        <f>F18*G18</f>
        <v>465.66321730950142</v>
      </c>
    </row>
    <row r="19" spans="2:8" ht="18">
      <c r="B19" s="79" t="s">
        <v>261</v>
      </c>
      <c r="C19" s="111"/>
      <c r="D19" s="102"/>
      <c r="E19" s="68">
        <f>'A13-Data for tables'!$G$42</f>
        <v>310.44214487300093</v>
      </c>
      <c r="F19" s="103">
        <f t="shared" si="1"/>
        <v>9</v>
      </c>
      <c r="G19" s="46">
        <f t="shared" si="4"/>
        <v>310.44214487300093</v>
      </c>
      <c r="H19" s="46">
        <f>F19*G19</f>
        <v>2793.9793038570083</v>
      </c>
    </row>
    <row r="20" spans="2:8">
      <c r="B20" s="65" t="s">
        <v>66</v>
      </c>
      <c r="C20" s="111"/>
      <c r="D20" s="129"/>
      <c r="E20" s="102"/>
      <c r="F20" s="103"/>
      <c r="G20" s="46"/>
      <c r="H20" s="45"/>
    </row>
    <row r="21" spans="2:8">
      <c r="B21" s="303" t="s">
        <v>29</v>
      </c>
      <c r="C21" s="304">
        <f>'A13-Data for tables'!$G$37</f>
        <v>83.819379115710248</v>
      </c>
      <c r="D21" s="309">
        <f>'A13-Data for tables'!$G$4</f>
        <v>46</v>
      </c>
      <c r="E21" s="306">
        <f>C21*D21</f>
        <v>3855.6914393226716</v>
      </c>
      <c r="F21" s="307">
        <f t="shared" si="1"/>
        <v>9</v>
      </c>
      <c r="G21" s="306">
        <f t="shared" si="4"/>
        <v>3855.6914393226716</v>
      </c>
      <c r="H21" s="306">
        <f>F21*G21</f>
        <v>34701.222953904042</v>
      </c>
    </row>
    <row r="22" spans="2:8">
      <c r="B22" s="385" t="s">
        <v>121</v>
      </c>
      <c r="C22" s="70"/>
      <c r="D22" s="386"/>
      <c r="E22" s="46"/>
      <c r="F22" s="384"/>
      <c r="G22" s="46"/>
      <c r="H22" s="46"/>
    </row>
    <row r="23" spans="2:8">
      <c r="B23" s="60" t="s">
        <v>366</v>
      </c>
      <c r="G23" s="107"/>
    </row>
    <row r="24" spans="2:8">
      <c r="B24" s="60" t="s">
        <v>262</v>
      </c>
      <c r="G24" s="107"/>
    </row>
    <row r="25" spans="2:8">
      <c r="B25" s="60" t="s">
        <v>263</v>
      </c>
      <c r="G25" s="107"/>
    </row>
    <row r="26" spans="2:8">
      <c r="B26" s="60" t="s">
        <v>264</v>
      </c>
      <c r="E26" s="137"/>
    </row>
    <row r="27" spans="2:8">
      <c r="B27" s="60" t="s">
        <v>177</v>
      </c>
    </row>
    <row r="28" spans="2:8">
      <c r="B28" s="60" t="s">
        <v>367</v>
      </c>
    </row>
    <row r="29" spans="2:8">
      <c r="B29" s="60" t="s">
        <v>265</v>
      </c>
    </row>
    <row r="30" spans="2:8">
      <c r="B30" s="60" t="s">
        <v>266</v>
      </c>
    </row>
  </sheetData>
  <protectedRanges>
    <protectedRange sqref="C4:E15 C17:E22" name="Range2"/>
    <protectedRange sqref="L4" name="Acres"/>
    <protectedRange sqref="C16:E16" name="Range2_1"/>
  </protectedRanges>
  <mergeCells count="1">
    <mergeCell ref="B2:H2"/>
  </mergeCells>
  <phoneticPr fontId="21" type="noConversion"/>
  <pageMargins left="0.7" right="0.7" top="0.75" bottom="0.75" header="0.3" footer="0.3"/>
  <pageSetup orientation="portrait"/>
  <ignoredErrors>
    <ignoredError sqref="C19:E20 E16 E21 C9:D9 C12:D12 C10:D10 C17:E18 C8:D8 C14:E15 C13:D13 C21 E10 E12 E6:E9 E13 E11" unlocked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Intro</vt:lpstr>
      <vt:lpstr>A2-Cider Apple Budget</vt:lpstr>
      <vt:lpstr>A3-Price &amp; Yield Analysis</vt:lpstr>
      <vt:lpstr>A4-Capital Req.</vt:lpstr>
      <vt:lpstr>A5-Mach. Equip. &amp; Build. Req.</vt:lpstr>
      <vt:lpstr>A6&amp;A7-Int. Costs &amp; Depr.</vt:lpstr>
      <vt:lpstr>A8-Breakeven Return</vt:lpstr>
      <vt:lpstr>A9-Estab Costs</vt:lpstr>
      <vt:lpstr>A10-Full Prod Costs</vt:lpstr>
      <vt:lpstr>A11-Salv Value &amp; Dep Costs</vt:lpstr>
      <vt:lpstr>A12-Amort Calc</vt:lpstr>
      <vt:lpstr>A13-Data for tables</vt:lpstr>
      <vt:lpstr>A14-NPV&amp;Payback Pd</vt:lpstr>
      <vt:lpstr>'A13-Data for tables'!Print_Area</vt:lpstr>
      <vt:lpstr>'A2-Cider Apple Budget'!Print_Area</vt:lpstr>
      <vt:lpstr>'A5-Mach. Equip. &amp; Build. Req.'!Print_Area</vt:lpstr>
      <vt:lpstr>Intro!Print_Area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2015-05-05T17:09:33Z</dcterms:created>
  <dcterms:modified xsi:type="dcterms:W3CDTF">2016-09-12T17:46:47Z</dcterms:modified>
</cp:coreProperties>
</file>