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Z:\Website\Grants\"/>
    </mc:Choice>
  </mc:AlternateContent>
  <bookViews>
    <workbookView xWindow="-2790" yWindow="4275" windowWidth="26580" windowHeight="11250" tabRatio="756"/>
  </bookViews>
  <sheets>
    <sheet name="Sponsor Budget" sheetId="1" r:id="rId1"/>
    <sheet name="Cost Share" sheetId="17" r:id="rId2"/>
    <sheet name="Ebcalc 1-12-15" sheetId="29" r:id="rId3"/>
    <sheet name="GRA Steps 26-32" sheetId="28" r:id="rId4"/>
    <sheet name="Person Months Calculator" sheetId="7" r:id="rId5"/>
    <sheet name="BPPM 70.09" sheetId="16" r:id="rId6"/>
    <sheet name="NIH Modular Budget" sheetId="19" r:id="rId7"/>
    <sheet name="Sheet1" sheetId="22" r:id="rId8"/>
  </sheets>
  <externalReferences>
    <externalReference r:id="rId9"/>
  </externalReferences>
  <definedNames>
    <definedName name="NIH_MODULAR_BUDGET_populates_from_WSU_budget_template_and_starts_on_line_128" localSheetId="3">#REF!</definedName>
    <definedName name="NIH_MODULAR_BUDGET_populates_from_WSU_budget_template_and_starts_on_line_128">#REF!</definedName>
    <definedName name="_xlnm.Print_Area" localSheetId="1">'Cost Share'!$A$1:$L$95</definedName>
    <definedName name="_xlnm.Print_Area" localSheetId="3">'GRA Steps 26-32'!$A$1:$R$54</definedName>
    <definedName name="_xlnm.Print_Area" localSheetId="6">'NIH Modular Budget'!$A$1:$L$96</definedName>
    <definedName name="_xlnm.Print_Area" localSheetId="0">'Sponsor Budget'!$A$1:$L$94</definedName>
    <definedName name="state" localSheetId="5">'BPPM 70.09'!$A$52</definedName>
  </definedNames>
  <calcPr calcId="152511"/>
</workbook>
</file>

<file path=xl/calcChain.xml><?xml version="1.0" encoding="utf-8"?>
<calcChain xmlns="http://schemas.openxmlformats.org/spreadsheetml/2006/main">
  <c r="D43" i="29" l="1"/>
  <c r="H42" i="29"/>
  <c r="G42" i="29"/>
  <c r="E42" i="29"/>
  <c r="D42" i="29"/>
  <c r="G41" i="29"/>
  <c r="D41" i="29"/>
  <c r="G40" i="29"/>
  <c r="D40" i="29"/>
  <c r="H39" i="29"/>
  <c r="H38" i="29"/>
  <c r="G38" i="29"/>
  <c r="D38" i="29"/>
  <c r="G37" i="29"/>
  <c r="D37" i="29"/>
  <c r="H30" i="29"/>
  <c r="G30" i="29"/>
  <c r="E30" i="29"/>
  <c r="D30" i="29"/>
  <c r="A30" i="29"/>
  <c r="G29" i="29"/>
  <c r="D29" i="29"/>
  <c r="G28" i="29"/>
  <c r="D28" i="29"/>
  <c r="B28" i="29"/>
  <c r="H27" i="29"/>
  <c r="E27" i="29"/>
  <c r="G26" i="29"/>
  <c r="D26" i="29"/>
  <c r="G25" i="29"/>
  <c r="D25" i="29"/>
  <c r="K24" i="29"/>
  <c r="J24" i="29"/>
  <c r="K23" i="29"/>
  <c r="B23" i="29"/>
  <c r="B30" i="29" s="1"/>
  <c r="J22" i="29"/>
  <c r="J21" i="29"/>
  <c r="H21" i="29"/>
  <c r="G21" i="29"/>
  <c r="E21" i="29"/>
  <c r="D21" i="29"/>
  <c r="K20" i="29"/>
  <c r="G20" i="29"/>
  <c r="D20" i="29"/>
  <c r="K19" i="29"/>
  <c r="G19" i="29"/>
  <c r="D19" i="29"/>
  <c r="J18" i="29"/>
  <c r="H18" i="29"/>
  <c r="E18" i="29"/>
  <c r="G17" i="29"/>
  <c r="D17" i="29"/>
  <c r="G16" i="29"/>
  <c r="D16" i="29"/>
  <c r="K13" i="29"/>
  <c r="J13" i="29"/>
  <c r="H12" i="29"/>
  <c r="G12" i="29"/>
  <c r="E12" i="29"/>
  <c r="D12" i="29"/>
  <c r="J11" i="29"/>
  <c r="G11" i="29"/>
  <c r="D11" i="29"/>
  <c r="B11" i="29"/>
  <c r="K22" i="29" s="1"/>
  <c r="J10" i="29"/>
  <c r="G10" i="29"/>
  <c r="D10" i="29"/>
  <c r="B10" i="29"/>
  <c r="H28" i="29" s="1"/>
  <c r="K9" i="29"/>
  <c r="H9" i="29"/>
  <c r="E9" i="29"/>
  <c r="B9" i="29"/>
  <c r="E39" i="29" s="1"/>
  <c r="J8" i="29"/>
  <c r="G8" i="29"/>
  <c r="D8" i="29"/>
  <c r="B8" i="29"/>
  <c r="H26" i="29" s="1"/>
  <c r="G7" i="29"/>
  <c r="D7" i="29"/>
  <c r="B7" i="29"/>
  <c r="H25" i="29" s="1"/>
  <c r="H31" i="29" l="1"/>
  <c r="H33" i="29" s="1"/>
  <c r="E29" i="29"/>
  <c r="H29" i="29"/>
  <c r="E37" i="29"/>
  <c r="H37" i="29"/>
  <c r="E38" i="29"/>
  <c r="E40" i="29"/>
  <c r="H40" i="29"/>
  <c r="E41" i="29"/>
  <c r="H41" i="29"/>
  <c r="E8" i="29"/>
  <c r="H8" i="29"/>
  <c r="K8" i="29"/>
  <c r="E11" i="29"/>
  <c r="H11" i="29"/>
  <c r="K11" i="29"/>
  <c r="E17" i="29"/>
  <c r="H17" i="29"/>
  <c r="E20" i="29"/>
  <c r="H20" i="29"/>
  <c r="B22" i="29"/>
  <c r="E7" i="29"/>
  <c r="H7" i="29"/>
  <c r="E10" i="29"/>
  <c r="H10" i="29"/>
  <c r="K10" i="29"/>
  <c r="B13" i="29"/>
  <c r="B15" i="29" s="1"/>
  <c r="E16" i="29"/>
  <c r="H16" i="29"/>
  <c r="K17" i="29"/>
  <c r="K18" i="29"/>
  <c r="E19" i="29"/>
  <c r="H19" i="29"/>
  <c r="K21" i="29"/>
  <c r="E25" i="29"/>
  <c r="E26" i="29"/>
  <c r="E28" i="29"/>
  <c r="G6" i="1"/>
  <c r="L75" i="1"/>
  <c r="L63" i="1"/>
  <c r="L51" i="1"/>
  <c r="K25" i="29" l="1"/>
  <c r="K27" i="29" s="1"/>
  <c r="E22" i="29"/>
  <c r="E24" i="29" s="1"/>
  <c r="E13" i="29"/>
  <c r="E15" i="29" s="1"/>
  <c r="E43" i="29"/>
  <c r="E45" i="29" s="1"/>
  <c r="E31" i="29"/>
  <c r="E33" i="29" s="1"/>
  <c r="H22" i="29"/>
  <c r="H24" i="29" s="1"/>
  <c r="H13" i="29"/>
  <c r="H15" i="29" s="1"/>
  <c r="B24" i="29"/>
  <c r="B26" i="29" s="1"/>
  <c r="B29" i="29"/>
  <c r="B31" i="29" s="1"/>
  <c r="B33" i="29" s="1"/>
  <c r="K14" i="29"/>
  <c r="K16" i="29" s="1"/>
  <c r="H43" i="29"/>
  <c r="H45" i="29" s="1"/>
  <c r="AM52" i="28"/>
  <c r="AL52" i="28"/>
  <c r="AK52" i="28"/>
  <c r="AJ52" i="28"/>
  <c r="AM51" i="28"/>
  <c r="AL51" i="28"/>
  <c r="AK51" i="28"/>
  <c r="AJ51" i="28"/>
  <c r="AM50" i="28"/>
  <c r="AL50" i="28"/>
  <c r="AK50" i="28"/>
  <c r="AJ50" i="28"/>
  <c r="AF50" i="28"/>
  <c r="AB50" i="28"/>
  <c r="X50" i="28"/>
  <c r="AM49" i="28"/>
  <c r="AL49" i="28"/>
  <c r="AK49" i="28"/>
  <c r="AJ49" i="28"/>
  <c r="AF49" i="28"/>
  <c r="AB49" i="28"/>
  <c r="X49" i="28"/>
  <c r="AI44" i="28"/>
  <c r="AI52" i="28" s="1"/>
  <c r="AH44" i="28"/>
  <c r="AH52" i="28" s="1"/>
  <c r="AG44" i="28"/>
  <c r="AG52" i="28" s="1"/>
  <c r="AF44" i="28"/>
  <c r="AF52" i="28" s="1"/>
  <c r="AE44" i="28"/>
  <c r="AE52" i="28" s="1"/>
  <c r="AD44" i="28"/>
  <c r="AD52" i="28" s="1"/>
  <c r="AC44" i="28"/>
  <c r="AC52" i="28" s="1"/>
  <c r="AB44" i="28"/>
  <c r="AB52" i="28" s="1"/>
  <c r="AA44" i="28"/>
  <c r="AA52" i="28" s="1"/>
  <c r="Z44" i="28"/>
  <c r="Z52" i="28" s="1"/>
  <c r="Y44" i="28"/>
  <c r="Y52" i="28" s="1"/>
  <c r="X44" i="28"/>
  <c r="X52" i="28" s="1"/>
  <c r="AI43" i="28"/>
  <c r="AI51" i="28" s="1"/>
  <c r="AH43" i="28"/>
  <c r="AH51" i="28" s="1"/>
  <c r="AG43" i="28"/>
  <c r="AG51" i="28" s="1"/>
  <c r="AF43" i="28"/>
  <c r="AF51" i="28" s="1"/>
  <c r="AE43" i="28"/>
  <c r="AE51" i="28" s="1"/>
  <c r="AD43" i="28"/>
  <c r="AD51" i="28" s="1"/>
  <c r="AC43" i="28"/>
  <c r="AC51" i="28" s="1"/>
  <c r="AB43" i="28"/>
  <c r="AB51" i="28" s="1"/>
  <c r="AA43" i="28"/>
  <c r="AA51" i="28" s="1"/>
  <c r="Z43" i="28"/>
  <c r="Z51" i="28" s="1"/>
  <c r="Y43" i="28"/>
  <c r="Y51" i="28" s="1"/>
  <c r="X43" i="28"/>
  <c r="X51" i="28" s="1"/>
  <c r="BE42" i="28"/>
  <c r="BD42" i="28"/>
  <c r="BC42" i="28"/>
  <c r="BB42" i="28"/>
  <c r="BA42" i="28"/>
  <c r="AZ42" i="28"/>
  <c r="AY42" i="28"/>
  <c r="AX42" i="28"/>
  <c r="AW42" i="28"/>
  <c r="AV42" i="28"/>
  <c r="AU42" i="28"/>
  <c r="AT42" i="28"/>
  <c r="AS42" i="28"/>
  <c r="AR42" i="28"/>
  <c r="AQ42" i="28"/>
  <c r="AP42" i="28"/>
  <c r="AI42" i="28"/>
  <c r="AI50" i="28" s="1"/>
  <c r="AH42" i="28"/>
  <c r="AH50" i="28" s="1"/>
  <c r="AG42" i="28"/>
  <c r="AG50" i="28" s="1"/>
  <c r="AF42" i="28"/>
  <c r="AE42" i="28"/>
  <c r="AE50" i="28" s="1"/>
  <c r="AD42" i="28"/>
  <c r="AD50" i="28" s="1"/>
  <c r="AC42" i="28"/>
  <c r="AC50" i="28" s="1"/>
  <c r="AB42" i="28"/>
  <c r="AA42" i="28"/>
  <c r="AA50" i="28" s="1"/>
  <c r="Z42" i="28"/>
  <c r="Z50" i="28" s="1"/>
  <c r="Y42" i="28"/>
  <c r="Y50" i="28" s="1"/>
  <c r="X42" i="28"/>
  <c r="BE41" i="28"/>
  <c r="BD41" i="28"/>
  <c r="BC41" i="28"/>
  <c r="BB41" i="28"/>
  <c r="BA41" i="28"/>
  <c r="AZ41" i="28"/>
  <c r="AY41" i="28"/>
  <c r="AX41" i="28"/>
  <c r="AW41" i="28"/>
  <c r="AV41" i="28"/>
  <c r="AU41" i="28"/>
  <c r="AT41" i="28"/>
  <c r="AS41" i="28"/>
  <c r="AR41" i="28"/>
  <c r="AQ41" i="28"/>
  <c r="AP41" i="28"/>
  <c r="AI41" i="28"/>
  <c r="AI49" i="28" s="1"/>
  <c r="AH41" i="28"/>
  <c r="AH49" i="28" s="1"/>
  <c r="AG41" i="28"/>
  <c r="AG49" i="28" s="1"/>
  <c r="AF41" i="28"/>
  <c r="AE41" i="28"/>
  <c r="AE49" i="28" s="1"/>
  <c r="AD41" i="28"/>
  <c r="AD49" i="28" s="1"/>
  <c r="AC41" i="28"/>
  <c r="AC49" i="28" s="1"/>
  <c r="AB41" i="28"/>
  <c r="AA41" i="28"/>
  <c r="AA49" i="28" s="1"/>
  <c r="Z41" i="28"/>
  <c r="Z49" i="28" s="1"/>
  <c r="Y41" i="28"/>
  <c r="Y49" i="28" s="1"/>
  <c r="X41" i="28"/>
  <c r="P34" i="28"/>
  <c r="H34" i="28"/>
  <c r="P33" i="28"/>
  <c r="H33" i="28"/>
  <c r="H31" i="28"/>
  <c r="H41" i="28" s="1"/>
  <c r="AC28" i="28"/>
  <c r="Y28" i="28"/>
  <c r="X28" i="28"/>
  <c r="AB28" i="28" s="1"/>
  <c r="AH27" i="28"/>
  <c r="AG27" i="28"/>
  <c r="AF27" i="28"/>
  <c r="AD27" i="28"/>
  <c r="AC27" i="28"/>
  <c r="AB27" i="28"/>
  <c r="Z27" i="28"/>
  <c r="Y27" i="28"/>
  <c r="X27" i="28"/>
  <c r="E27" i="28"/>
  <c r="B27" i="28"/>
  <c r="BE23" i="28"/>
  <c r="BD23" i="28"/>
  <c r="BC23" i="28"/>
  <c r="BB23" i="28"/>
  <c r="BA23" i="28"/>
  <c r="AZ23" i="28"/>
  <c r="AY23" i="28"/>
  <c r="AX23" i="28"/>
  <c r="AW23" i="28"/>
  <c r="AV23" i="28"/>
  <c r="AU23" i="28"/>
  <c r="AT23" i="28"/>
  <c r="AS23" i="28"/>
  <c r="AR23" i="28"/>
  <c r="AQ23" i="28"/>
  <c r="AP23" i="28"/>
  <c r="BE22" i="28"/>
  <c r="BD22" i="28"/>
  <c r="BC22" i="28"/>
  <c r="BB22" i="28"/>
  <c r="BA22" i="28"/>
  <c r="AZ22" i="28"/>
  <c r="AY22" i="28"/>
  <c r="AX22" i="28"/>
  <c r="AW22" i="28"/>
  <c r="AV22" i="28"/>
  <c r="AU22" i="28"/>
  <c r="AT22" i="28"/>
  <c r="AS22" i="28"/>
  <c r="AR22" i="28"/>
  <c r="AQ22" i="28"/>
  <c r="AP22" i="28"/>
  <c r="BE21" i="28"/>
  <c r="BD21" i="28"/>
  <c r="BC21" i="28"/>
  <c r="BB21" i="28"/>
  <c r="BA21" i="28"/>
  <c r="AZ21" i="28"/>
  <c r="AY21" i="28"/>
  <c r="AX21" i="28"/>
  <c r="AW21" i="28"/>
  <c r="AV21" i="28"/>
  <c r="AU21" i="28"/>
  <c r="AT21" i="28"/>
  <c r="AS21" i="28"/>
  <c r="AR21" i="28"/>
  <c r="AQ21" i="28"/>
  <c r="AP21" i="28"/>
  <c r="BE19" i="28"/>
  <c r="BD19" i="28"/>
  <c r="BC19" i="28"/>
  <c r="BB19" i="28"/>
  <c r="BA19" i="28"/>
  <c r="AZ19" i="28"/>
  <c r="AY19" i="28"/>
  <c r="AX19" i="28"/>
  <c r="AW19" i="28"/>
  <c r="AV19" i="28"/>
  <c r="AU19" i="28"/>
  <c r="AT19" i="28"/>
  <c r="AS19" i="28"/>
  <c r="AR19" i="28"/>
  <c r="AQ19" i="28"/>
  <c r="AP19" i="28"/>
  <c r="BE18" i="28"/>
  <c r="BD18" i="28"/>
  <c r="BC18" i="28"/>
  <c r="BB18" i="28"/>
  <c r="BA18" i="28"/>
  <c r="AZ18" i="28"/>
  <c r="AY18" i="28"/>
  <c r="AX18" i="28"/>
  <c r="AW18" i="28"/>
  <c r="AV18" i="28"/>
  <c r="AU18" i="28"/>
  <c r="AT18" i="28"/>
  <c r="AS18" i="28"/>
  <c r="AR18" i="28"/>
  <c r="AQ18" i="28"/>
  <c r="AP18" i="28"/>
  <c r="BE17" i="28"/>
  <c r="BD17" i="28"/>
  <c r="BC17" i="28"/>
  <c r="BB17" i="28"/>
  <c r="BA17" i="28"/>
  <c r="AZ17" i="28"/>
  <c r="AY17" i="28"/>
  <c r="AX17" i="28"/>
  <c r="AW17" i="28"/>
  <c r="AV17" i="28"/>
  <c r="AU17" i="28"/>
  <c r="AT17" i="28"/>
  <c r="AS17" i="28"/>
  <c r="AR17" i="28"/>
  <c r="AQ17" i="28"/>
  <c r="AP17" i="28"/>
  <c r="W15" i="28"/>
  <c r="AO14" i="28"/>
  <c r="BX7" i="28"/>
  <c r="BW7" i="28"/>
  <c r="BV7" i="28"/>
  <c r="BU7" i="28"/>
  <c r="BT7" i="28"/>
  <c r="BS7" i="28"/>
  <c r="BR7" i="28"/>
  <c r="BQ7" i="28"/>
  <c r="BP7" i="28"/>
  <c r="BO7" i="28"/>
  <c r="BN7" i="28"/>
  <c r="BM7" i="28"/>
  <c r="BL7" i="28"/>
  <c r="BK7" i="28"/>
  <c r="BJ7" i="28"/>
  <c r="BI7" i="28"/>
  <c r="R6" i="28"/>
  <c r="Q6" i="28"/>
  <c r="Q17" i="28" s="1"/>
  <c r="P6" i="28"/>
  <c r="O6" i="28"/>
  <c r="O17" i="28" s="1"/>
  <c r="N6" i="28"/>
  <c r="M6" i="28"/>
  <c r="M17" i="28" s="1"/>
  <c r="L6" i="28"/>
  <c r="K6" i="28"/>
  <c r="K17" i="28" s="1"/>
  <c r="J6" i="28"/>
  <c r="I6" i="28"/>
  <c r="I17" i="28" s="1"/>
  <c r="H6" i="28"/>
  <c r="H17" i="28" s="1"/>
  <c r="AC16" i="28" s="1"/>
  <c r="AU15" i="28" s="1"/>
  <c r="G6" i="28"/>
  <c r="G17" i="28" s="1"/>
  <c r="F6" i="28"/>
  <c r="F17" i="28" s="1"/>
  <c r="E6" i="28"/>
  <c r="E17" i="28" s="1"/>
  <c r="D6" i="28"/>
  <c r="D17" i="28" s="1"/>
  <c r="Y16" i="28" s="1"/>
  <c r="AQ15" i="28" s="1"/>
  <c r="C6" i="28"/>
  <c r="C17" i="28" s="1"/>
  <c r="BE5" i="28"/>
  <c r="BD5" i="28"/>
  <c r="BC5" i="28"/>
  <c r="BB5" i="28"/>
  <c r="BA5" i="28"/>
  <c r="AZ5" i="28"/>
  <c r="AY5" i="28"/>
  <c r="AX5" i="28"/>
  <c r="AW5" i="28"/>
  <c r="AV5" i="28"/>
  <c r="AU5" i="28"/>
  <c r="AT5" i="28"/>
  <c r="AS5" i="28"/>
  <c r="AR5" i="28"/>
  <c r="AQ5" i="28"/>
  <c r="AP5" i="28"/>
  <c r="AO5" i="28"/>
  <c r="U2" i="28"/>
  <c r="V1" i="28"/>
  <c r="W1" i="28" s="1"/>
  <c r="U1" i="28"/>
  <c r="C31" i="28" l="1"/>
  <c r="X16" i="28"/>
  <c r="AP15" i="28" s="1"/>
  <c r="E31" i="28"/>
  <c r="Z16" i="28"/>
  <c r="AR15" i="28" s="1"/>
  <c r="G31" i="28"/>
  <c r="AB16" i="28"/>
  <c r="AT15" i="28" s="1"/>
  <c r="I31" i="28"/>
  <c r="AD16" i="28"/>
  <c r="AV15" i="28" s="1"/>
  <c r="K31" i="28"/>
  <c r="AF16" i="28"/>
  <c r="AX15" i="28" s="1"/>
  <c r="M31" i="28"/>
  <c r="AH16" i="28"/>
  <c r="AZ15" i="28" s="1"/>
  <c r="O31" i="28"/>
  <c r="AJ16" i="28"/>
  <c r="BB15" i="28" s="1"/>
  <c r="Q31" i="28"/>
  <c r="AL16" i="28"/>
  <c r="BD15" i="28" s="1"/>
  <c r="X6" i="28"/>
  <c r="AP6" i="28" s="1"/>
  <c r="Z6" i="28"/>
  <c r="AR6" i="28" s="1"/>
  <c r="AB6" i="28"/>
  <c r="AT6" i="28" s="1"/>
  <c r="AD6" i="28"/>
  <c r="AV6" i="28" s="1"/>
  <c r="AH6" i="28"/>
  <c r="AZ6" i="28" s="1"/>
  <c r="AL6" i="28"/>
  <c r="BD6" i="28" s="1"/>
  <c r="E7" i="28"/>
  <c r="I7" i="28"/>
  <c r="AC5" i="28" s="1"/>
  <c r="M7" i="28"/>
  <c r="Q7" i="28"/>
  <c r="AK5" i="28" s="1"/>
  <c r="E8" i="28"/>
  <c r="I8" i="28"/>
  <c r="M8" i="28"/>
  <c r="Q8" i="28"/>
  <c r="E9" i="28"/>
  <c r="I9" i="28"/>
  <c r="M9" i="28"/>
  <c r="Q9" i="28"/>
  <c r="E10" i="28"/>
  <c r="I10" i="28"/>
  <c r="M10" i="28"/>
  <c r="Q10" i="28"/>
  <c r="E11" i="28"/>
  <c r="I11" i="28"/>
  <c r="M11" i="28"/>
  <c r="Q11" i="28"/>
  <c r="E12" i="28"/>
  <c r="I12" i="28"/>
  <c r="M12" i="28"/>
  <c r="Q12" i="28"/>
  <c r="E13" i="28"/>
  <c r="I13" i="28"/>
  <c r="M13" i="28"/>
  <c r="Q13" i="28"/>
  <c r="H52" i="28"/>
  <c r="AC48" i="28" s="1"/>
  <c r="AC40" i="28"/>
  <c r="AU39" i="28" s="1"/>
  <c r="AC32" i="28"/>
  <c r="AU32" i="28" s="1"/>
  <c r="R13" i="28"/>
  <c r="P13" i="28"/>
  <c r="N13" i="28"/>
  <c r="L13" i="28"/>
  <c r="J13" i="28"/>
  <c r="H13" i="28"/>
  <c r="F13" i="28"/>
  <c r="D13" i="28"/>
  <c r="R12" i="28"/>
  <c r="P12" i="28"/>
  <c r="N12" i="28"/>
  <c r="L12" i="28"/>
  <c r="J12" i="28"/>
  <c r="H12" i="28"/>
  <c r="F12" i="28"/>
  <c r="D12" i="28"/>
  <c r="R11" i="28"/>
  <c r="P11" i="28"/>
  <c r="N11" i="28"/>
  <c r="L11" i="28"/>
  <c r="J11" i="28"/>
  <c r="H11" i="28"/>
  <c r="F11" i="28"/>
  <c r="D11" i="28"/>
  <c r="R10" i="28"/>
  <c r="P10" i="28"/>
  <c r="N10" i="28"/>
  <c r="L10" i="28"/>
  <c r="J10" i="28"/>
  <c r="H10" i="28"/>
  <c r="F10" i="28"/>
  <c r="D10" i="28"/>
  <c r="R9" i="28"/>
  <c r="P9" i="28"/>
  <c r="N9" i="28"/>
  <c r="L9" i="28"/>
  <c r="J9" i="28"/>
  <c r="H9" i="28"/>
  <c r="F9" i="28"/>
  <c r="D9" i="28"/>
  <c r="R8" i="28"/>
  <c r="P8" i="28"/>
  <c r="N8" i="28"/>
  <c r="L8" i="28"/>
  <c r="J8" i="28"/>
  <c r="H8" i="28"/>
  <c r="F8" i="28"/>
  <c r="D8" i="28"/>
  <c r="R7" i="28"/>
  <c r="P7" i="28"/>
  <c r="N7" i="28"/>
  <c r="AH5" i="28" s="1"/>
  <c r="L7" i="28"/>
  <c r="J7" i="28"/>
  <c r="AD5" i="28" s="1"/>
  <c r="H7" i="28"/>
  <c r="F7" i="28"/>
  <c r="Z5" i="28" s="1"/>
  <c r="D7" i="28"/>
  <c r="V2" i="28"/>
  <c r="W2" i="28" s="1"/>
  <c r="F31" i="28"/>
  <c r="AA16" i="28"/>
  <c r="AS15" i="28" s="1"/>
  <c r="J17" i="28"/>
  <c r="AE6" i="28"/>
  <c r="AW6" i="28" s="1"/>
  <c r="L17" i="28"/>
  <c r="AG6" i="28"/>
  <c r="AY6" i="28" s="1"/>
  <c r="N17" i="28"/>
  <c r="AI6" i="28"/>
  <c r="BA6" i="28" s="1"/>
  <c r="P17" i="28"/>
  <c r="AK6" i="28"/>
  <c r="BC6" i="28" s="1"/>
  <c r="R17" i="28"/>
  <c r="AM6" i="28"/>
  <c r="BE6" i="28" s="1"/>
  <c r="Y6" i="28"/>
  <c r="AQ6" i="28" s="1"/>
  <c r="AA6" i="28"/>
  <c r="AS6" i="28" s="1"/>
  <c r="AC6" i="28"/>
  <c r="AU6" i="28" s="1"/>
  <c r="AF6" i="28"/>
  <c r="AX6" i="28" s="1"/>
  <c r="AJ6" i="28"/>
  <c r="BB6" i="28" s="1"/>
  <c r="C7" i="28"/>
  <c r="G7" i="28"/>
  <c r="K7" i="28"/>
  <c r="AE5" i="28" s="1"/>
  <c r="O7" i="28"/>
  <c r="C8" i="28"/>
  <c r="G8" i="28"/>
  <c r="K8" i="28"/>
  <c r="O8" i="28"/>
  <c r="C9" i="28"/>
  <c r="G9" i="28"/>
  <c r="K9" i="28"/>
  <c r="O9" i="28"/>
  <c r="C10" i="28"/>
  <c r="G10" i="28"/>
  <c r="K10" i="28"/>
  <c r="O10" i="28"/>
  <c r="C11" i="28"/>
  <c r="G11" i="28"/>
  <c r="K11" i="28"/>
  <c r="O11" i="28"/>
  <c r="C12" i="28"/>
  <c r="G12" i="28"/>
  <c r="K12" i="28"/>
  <c r="O12" i="28"/>
  <c r="C13" i="28"/>
  <c r="G13" i="28"/>
  <c r="K13" i="28"/>
  <c r="O13" i="28"/>
  <c r="C18" i="28"/>
  <c r="K18" i="28"/>
  <c r="C19" i="28"/>
  <c r="K19" i="28"/>
  <c r="C20" i="28"/>
  <c r="K20" i="28"/>
  <c r="C21" i="28"/>
  <c r="K21" i="28"/>
  <c r="C22" i="28"/>
  <c r="K22" i="28"/>
  <c r="C23" i="28"/>
  <c r="K23" i="28"/>
  <c r="C24" i="28"/>
  <c r="K24" i="28"/>
  <c r="Q37" i="28"/>
  <c r="O37" i="28"/>
  <c r="M37" i="28"/>
  <c r="K37" i="28"/>
  <c r="I37" i="28"/>
  <c r="G37" i="28"/>
  <c r="E37" i="28"/>
  <c r="C37" i="28"/>
  <c r="Q36" i="28"/>
  <c r="O36" i="28"/>
  <c r="M36" i="28"/>
  <c r="K36" i="28"/>
  <c r="I36" i="28"/>
  <c r="G36" i="28"/>
  <c r="E36" i="28"/>
  <c r="C36" i="28"/>
  <c r="Q35" i="28"/>
  <c r="O35" i="28"/>
  <c r="M35" i="28"/>
  <c r="K35" i="28"/>
  <c r="I35" i="28"/>
  <c r="G35" i="28"/>
  <c r="E35" i="28"/>
  <c r="C35" i="28"/>
  <c r="Q34" i="28"/>
  <c r="O34" i="28"/>
  <c r="M34" i="28"/>
  <c r="K34" i="28"/>
  <c r="I34" i="28"/>
  <c r="G34" i="28"/>
  <c r="E34" i="28"/>
  <c r="C34" i="28"/>
  <c r="Q33" i="28"/>
  <c r="O33" i="28"/>
  <c r="M33" i="28"/>
  <c r="K33" i="28"/>
  <c r="I33" i="28"/>
  <c r="G33" i="28"/>
  <c r="E33" i="28"/>
  <c r="C33" i="28"/>
  <c r="R37" i="28"/>
  <c r="P37" i="28"/>
  <c r="N37" i="28"/>
  <c r="L37" i="28"/>
  <c r="J37" i="28"/>
  <c r="H37" i="28"/>
  <c r="F37" i="28"/>
  <c r="D37" i="28"/>
  <c r="R36" i="28"/>
  <c r="P36" i="28"/>
  <c r="N36" i="28"/>
  <c r="L36" i="28"/>
  <c r="J36" i="28"/>
  <c r="H36" i="28"/>
  <c r="F36" i="28"/>
  <c r="D36" i="28"/>
  <c r="R35" i="28"/>
  <c r="P35" i="28"/>
  <c r="N35" i="28"/>
  <c r="L35" i="28"/>
  <c r="J35" i="28"/>
  <c r="H35" i="28"/>
  <c r="F35" i="28"/>
  <c r="R34" i="28"/>
  <c r="N34" i="28"/>
  <c r="J34" i="28"/>
  <c r="F34" i="28"/>
  <c r="R33" i="28"/>
  <c r="N33" i="28"/>
  <c r="J33" i="28"/>
  <c r="F33" i="28"/>
  <c r="O47" i="28"/>
  <c r="K47" i="28"/>
  <c r="G47" i="28"/>
  <c r="C47" i="28"/>
  <c r="O46" i="28"/>
  <c r="K46" i="28"/>
  <c r="G46" i="28"/>
  <c r="C46" i="28"/>
  <c r="O45" i="28"/>
  <c r="K45" i="28"/>
  <c r="G45" i="28"/>
  <c r="C45" i="28"/>
  <c r="O44" i="28"/>
  <c r="K44" i="28"/>
  <c r="G44" i="28"/>
  <c r="C44" i="28"/>
  <c r="O43" i="28"/>
  <c r="K43" i="28"/>
  <c r="H43" i="28"/>
  <c r="F43" i="28"/>
  <c r="D43" i="28"/>
  <c r="R54" i="28"/>
  <c r="P54" i="28"/>
  <c r="N54" i="28"/>
  <c r="L54" i="28"/>
  <c r="J54" i="28"/>
  <c r="H54" i="28"/>
  <c r="F54" i="28"/>
  <c r="D54" i="28"/>
  <c r="Q54" i="28"/>
  <c r="M54" i="28"/>
  <c r="I54" i="28"/>
  <c r="E54" i="28"/>
  <c r="O54" i="28"/>
  <c r="K54" i="28"/>
  <c r="G54" i="28"/>
  <c r="C54" i="28"/>
  <c r="D31" i="28"/>
  <c r="D33" i="28"/>
  <c r="L33" i="28"/>
  <c r="D34" i="28"/>
  <c r="L34" i="28"/>
  <c r="D35" i="28"/>
  <c r="R47" i="28"/>
  <c r="P47" i="28"/>
  <c r="N47" i="28"/>
  <c r="L47" i="28"/>
  <c r="J47" i="28"/>
  <c r="H47" i="28"/>
  <c r="F47" i="28"/>
  <c r="D47" i="28"/>
  <c r="R46" i="28"/>
  <c r="P46" i="28"/>
  <c r="N46" i="28"/>
  <c r="L46" i="28"/>
  <c r="J46" i="28"/>
  <c r="H46" i="28"/>
  <c r="F46" i="28"/>
  <c r="D46" i="28"/>
  <c r="R45" i="28"/>
  <c r="P45" i="28"/>
  <c r="N45" i="28"/>
  <c r="L45" i="28"/>
  <c r="J45" i="28"/>
  <c r="H45" i="28"/>
  <c r="F45" i="28"/>
  <c r="D45" i="28"/>
  <c r="R44" i="28"/>
  <c r="P44" i="28"/>
  <c r="N44" i="28"/>
  <c r="L44" i="28"/>
  <c r="J44" i="28"/>
  <c r="H44" i="28"/>
  <c r="F44" i="28"/>
  <c r="D44" i="28"/>
  <c r="R43" i="28"/>
  <c r="P43" i="28"/>
  <c r="N43" i="28"/>
  <c r="L43" i="28"/>
  <c r="J43" i="28"/>
  <c r="C43" i="28"/>
  <c r="E43" i="28"/>
  <c r="G43" i="28"/>
  <c r="I43" i="28"/>
  <c r="M43" i="28"/>
  <c r="Q43" i="28"/>
  <c r="E44" i="28"/>
  <c r="I44" i="28"/>
  <c r="M44" i="28"/>
  <c r="Q44" i="28"/>
  <c r="E45" i="28"/>
  <c r="I45" i="28"/>
  <c r="M45" i="28"/>
  <c r="Q45" i="28"/>
  <c r="E46" i="28"/>
  <c r="I46" i="28"/>
  <c r="M46" i="28"/>
  <c r="Q46" i="28"/>
  <c r="E47" i="28"/>
  <c r="I47" i="28"/>
  <c r="M47" i="28"/>
  <c r="Q47" i="28"/>
  <c r="L1" i="19"/>
  <c r="A113" i="19"/>
  <c r="I25" i="19"/>
  <c r="H25" i="19"/>
  <c r="I21" i="19"/>
  <c r="H21" i="19"/>
  <c r="I25" i="17"/>
  <c r="J25" i="17" s="1"/>
  <c r="K25" i="17" s="1"/>
  <c r="H25" i="17"/>
  <c r="K21" i="17"/>
  <c r="L21" i="17" s="1"/>
  <c r="H21" i="17"/>
  <c r="I21" i="17" s="1"/>
  <c r="J21" i="17" s="1"/>
  <c r="K25" i="1"/>
  <c r="L25" i="1" s="1"/>
  <c r="I25" i="1"/>
  <c r="J25" i="1" s="1"/>
  <c r="H25" i="1"/>
  <c r="I21" i="1"/>
  <c r="J21" i="1" s="1"/>
  <c r="K21" i="1" s="1"/>
  <c r="H21" i="1"/>
  <c r="L1" i="17"/>
  <c r="A112" i="17"/>
  <c r="G14" i="1"/>
  <c r="H14" i="1" s="1"/>
  <c r="H15" i="1" s="1"/>
  <c r="G11" i="1"/>
  <c r="H10" i="1"/>
  <c r="I10" i="1" s="1"/>
  <c r="I11" i="1" s="1"/>
  <c r="G10" i="1"/>
  <c r="G9" i="1"/>
  <c r="H8" i="1"/>
  <c r="G8" i="1"/>
  <c r="H6" i="1"/>
  <c r="I6" i="1" s="1"/>
  <c r="I7" i="1" s="1"/>
  <c r="H20" i="1"/>
  <c r="L88" i="1"/>
  <c r="L89" i="1"/>
  <c r="L86" i="1"/>
  <c r="K110" i="19"/>
  <c r="J110" i="19"/>
  <c r="I110" i="19"/>
  <c r="H110" i="19"/>
  <c r="G110" i="19"/>
  <c r="J106" i="19"/>
  <c r="L91" i="19"/>
  <c r="G90" i="19"/>
  <c r="L90" i="19" s="1"/>
  <c r="G88" i="19"/>
  <c r="K83" i="19"/>
  <c r="K108" i="19"/>
  <c r="J83" i="19"/>
  <c r="J108" i="19"/>
  <c r="I83" i="19"/>
  <c r="I108" i="19"/>
  <c r="H83" i="19"/>
  <c r="H108" i="19"/>
  <c r="G83" i="19"/>
  <c r="G108" i="19"/>
  <c r="L82" i="19"/>
  <c r="L83" i="19"/>
  <c r="L108" i="19" s="1"/>
  <c r="K80" i="19"/>
  <c r="K105" i="19" s="1"/>
  <c r="J80" i="19"/>
  <c r="J105" i="19" s="1"/>
  <c r="I80" i="19"/>
  <c r="I105" i="19" s="1"/>
  <c r="H80" i="19"/>
  <c r="H105" i="19"/>
  <c r="G80" i="19"/>
  <c r="G105" i="19"/>
  <c r="L79" i="19"/>
  <c r="L80" i="19"/>
  <c r="L105" i="19" s="1"/>
  <c r="K77" i="19"/>
  <c r="K102" i="19" s="1"/>
  <c r="J77" i="19"/>
  <c r="J102" i="19" s="1"/>
  <c r="I77" i="19"/>
  <c r="I102" i="19" s="1"/>
  <c r="H77" i="19"/>
  <c r="H102" i="19" s="1"/>
  <c r="G77" i="19"/>
  <c r="G102" i="19" s="1"/>
  <c r="L76" i="19"/>
  <c r="L75" i="19"/>
  <c r="L77" i="19"/>
  <c r="L102" i="19" s="1"/>
  <c r="K73" i="19"/>
  <c r="K109" i="19" s="1"/>
  <c r="J73" i="19"/>
  <c r="J109" i="19" s="1"/>
  <c r="I73" i="19"/>
  <c r="I109" i="19" s="1"/>
  <c r="H73" i="19"/>
  <c r="H109" i="19" s="1"/>
  <c r="G73" i="19"/>
  <c r="G109" i="19" s="1"/>
  <c r="L72" i="19"/>
  <c r="L73" i="19" s="1"/>
  <c r="L109" i="19"/>
  <c r="K70" i="19"/>
  <c r="K111" i="19"/>
  <c r="J70" i="19"/>
  <c r="J111" i="19"/>
  <c r="I70" i="19"/>
  <c r="I111" i="19"/>
  <c r="H70" i="19"/>
  <c r="H111" i="19"/>
  <c r="G70" i="19"/>
  <c r="G111" i="19"/>
  <c r="L69" i="19"/>
  <c r="L70" i="19"/>
  <c r="L111" i="19" s="1"/>
  <c r="K67" i="19"/>
  <c r="J67" i="19"/>
  <c r="I67" i="19"/>
  <c r="H67" i="19"/>
  <c r="G67" i="19"/>
  <c r="L66" i="19"/>
  <c r="L110" i="19"/>
  <c r="L65" i="19"/>
  <c r="L64" i="19"/>
  <c r="L63" i="19"/>
  <c r="K61" i="19"/>
  <c r="K104" i="19" s="1"/>
  <c r="J61" i="19"/>
  <c r="J104" i="19" s="1"/>
  <c r="I61" i="19"/>
  <c r="I104" i="19" s="1"/>
  <c r="H61" i="19"/>
  <c r="H104" i="19" s="1"/>
  <c r="G61" i="19"/>
  <c r="G104" i="19" s="1"/>
  <c r="L60" i="19"/>
  <c r="L59" i="19"/>
  <c r="L61" i="19" s="1"/>
  <c r="K57" i="19"/>
  <c r="K103" i="19"/>
  <c r="J57" i="19"/>
  <c r="J103" i="19"/>
  <c r="I57" i="19"/>
  <c r="I103" i="19"/>
  <c r="H57" i="19"/>
  <c r="H103" i="19"/>
  <c r="G57" i="19"/>
  <c r="G103" i="19"/>
  <c r="L56" i="19"/>
  <c r="L55" i="19"/>
  <c r="L54" i="19"/>
  <c r="L53" i="19"/>
  <c r="L52" i="19"/>
  <c r="L51" i="19"/>
  <c r="L57" i="19" s="1"/>
  <c r="K49" i="19"/>
  <c r="K89" i="19"/>
  <c r="J49" i="19"/>
  <c r="J89" i="19"/>
  <c r="I49" i="19"/>
  <c r="I106" i="19"/>
  <c r="H49" i="19"/>
  <c r="H106" i="19"/>
  <c r="G49" i="19"/>
  <c r="G106" i="19"/>
  <c r="L48" i="19"/>
  <c r="L47" i="19"/>
  <c r="L46" i="19"/>
  <c r="L49" i="19"/>
  <c r="L106" i="19" s="1"/>
  <c r="G37" i="19"/>
  <c r="G38" i="19" s="1"/>
  <c r="G35" i="19"/>
  <c r="G33" i="19"/>
  <c r="G34" i="19"/>
  <c r="G31" i="19"/>
  <c r="G29" i="19"/>
  <c r="G27" i="19"/>
  <c r="H26" i="19"/>
  <c r="I26" i="19"/>
  <c r="H24" i="19"/>
  <c r="H27" i="19"/>
  <c r="G23" i="19"/>
  <c r="H22" i="19"/>
  <c r="H20" i="19"/>
  <c r="G18" i="19"/>
  <c r="H18" i="19" s="1"/>
  <c r="H19" i="19" s="1"/>
  <c r="G17" i="19"/>
  <c r="G16" i="19"/>
  <c r="H16" i="19"/>
  <c r="G14" i="19"/>
  <c r="G13" i="19"/>
  <c r="G12" i="19"/>
  <c r="H12" i="19"/>
  <c r="H13" i="19" s="1"/>
  <c r="G11" i="19"/>
  <c r="G10" i="19"/>
  <c r="H10" i="19"/>
  <c r="G8" i="19"/>
  <c r="G9" i="19"/>
  <c r="G6" i="19"/>
  <c r="L103" i="19"/>
  <c r="H8" i="19"/>
  <c r="H9" i="19"/>
  <c r="K106" i="19"/>
  <c r="L67" i="19"/>
  <c r="L104" i="19"/>
  <c r="H88" i="19"/>
  <c r="G19" i="19"/>
  <c r="I24" i="19"/>
  <c r="H31" i="19"/>
  <c r="G32" i="19"/>
  <c r="J24" i="19"/>
  <c r="K24" i="19" s="1"/>
  <c r="G36" i="19"/>
  <c r="L89" i="19"/>
  <c r="I18" i="19"/>
  <c r="J18" i="19" s="1"/>
  <c r="J19" i="19" s="1"/>
  <c r="I27" i="19"/>
  <c r="I12" i="19"/>
  <c r="I13" i="19" s="1"/>
  <c r="H29" i="19"/>
  <c r="H33" i="19"/>
  <c r="G89" i="19"/>
  <c r="H89" i="19"/>
  <c r="I16" i="19"/>
  <c r="I17" i="19" s="1"/>
  <c r="I89" i="19"/>
  <c r="I8" i="19"/>
  <c r="I33" i="19"/>
  <c r="H34" i="19"/>
  <c r="H30" i="19"/>
  <c r="J27" i="19"/>
  <c r="H32" i="19"/>
  <c r="I9" i="19"/>
  <c r="J8" i="19"/>
  <c r="L92" i="17"/>
  <c r="K18" i="19"/>
  <c r="K19" i="19" s="1"/>
  <c r="J33" i="19"/>
  <c r="I34" i="19"/>
  <c r="J9" i="19"/>
  <c r="K27" i="19"/>
  <c r="L24" i="19"/>
  <c r="H26" i="17"/>
  <c r="I26" i="17" s="1"/>
  <c r="H24" i="17"/>
  <c r="H27" i="17" s="1"/>
  <c r="H22" i="17"/>
  <c r="I22" i="17" s="1"/>
  <c r="J22" i="17" s="1"/>
  <c r="H20" i="17"/>
  <c r="I20" i="17" s="1"/>
  <c r="I23" i="17"/>
  <c r="L33" i="19"/>
  <c r="J34" i="19"/>
  <c r="K33" i="19"/>
  <c r="K34" i="19"/>
  <c r="I24" i="17"/>
  <c r="I27" i="17" s="1"/>
  <c r="H22" i="1"/>
  <c r="I22" i="1"/>
  <c r="J22" i="1" s="1"/>
  <c r="K22" i="1" s="1"/>
  <c r="L22" i="1" s="1"/>
  <c r="I20" i="1"/>
  <c r="J20" i="1"/>
  <c r="H26" i="1"/>
  <c r="I26" i="1"/>
  <c r="J26" i="1" s="1"/>
  <c r="H24" i="1"/>
  <c r="I24" i="1" s="1"/>
  <c r="H108" i="1"/>
  <c r="I108" i="1"/>
  <c r="J108" i="1"/>
  <c r="K108" i="1"/>
  <c r="L102" i="17"/>
  <c r="L105" i="17"/>
  <c r="L110" i="17"/>
  <c r="H104" i="17"/>
  <c r="H109" i="17"/>
  <c r="I109" i="17"/>
  <c r="J109" i="17"/>
  <c r="K109" i="17"/>
  <c r="G109" i="17"/>
  <c r="L89" i="17"/>
  <c r="H86" i="17"/>
  <c r="G86" i="17"/>
  <c r="K83" i="17"/>
  <c r="K107" i="17" s="1"/>
  <c r="J83" i="17"/>
  <c r="J107" i="17" s="1"/>
  <c r="I83" i="17"/>
  <c r="I107" i="17" s="1"/>
  <c r="H83" i="17"/>
  <c r="H107" i="17"/>
  <c r="G83" i="17"/>
  <c r="G107" i="17"/>
  <c r="L82" i="17"/>
  <c r="L83" i="17"/>
  <c r="K80" i="17"/>
  <c r="K104" i="17"/>
  <c r="J80" i="17"/>
  <c r="J104" i="17"/>
  <c r="I80" i="17"/>
  <c r="I104" i="17"/>
  <c r="H80" i="17"/>
  <c r="G80" i="17"/>
  <c r="G104" i="17" s="1"/>
  <c r="L79" i="17"/>
  <c r="L80" i="17" s="1"/>
  <c r="K77" i="17"/>
  <c r="K101" i="17" s="1"/>
  <c r="J77" i="17"/>
  <c r="J101" i="17" s="1"/>
  <c r="I77" i="17"/>
  <c r="I101" i="17" s="1"/>
  <c r="H77" i="17"/>
  <c r="H101" i="17" s="1"/>
  <c r="G77" i="17"/>
  <c r="G101" i="17" s="1"/>
  <c r="L76" i="17"/>
  <c r="L75" i="17"/>
  <c r="L73" i="17"/>
  <c r="K73" i="17"/>
  <c r="K108" i="17"/>
  <c r="J73" i="17"/>
  <c r="J108" i="17"/>
  <c r="I73" i="17"/>
  <c r="I108" i="17"/>
  <c r="H73" i="17"/>
  <c r="H108" i="17"/>
  <c r="G73" i="17"/>
  <c r="G108" i="17"/>
  <c r="L72" i="17"/>
  <c r="K70" i="17"/>
  <c r="K110" i="17" s="1"/>
  <c r="J70" i="17"/>
  <c r="J110" i="17" s="1"/>
  <c r="I70" i="17"/>
  <c r="I110" i="17" s="1"/>
  <c r="H70" i="17"/>
  <c r="H110" i="17" s="1"/>
  <c r="G70" i="17"/>
  <c r="G110" i="17" s="1"/>
  <c r="L69" i="17"/>
  <c r="L70" i="17" s="1"/>
  <c r="K67" i="17"/>
  <c r="K88" i="17" s="1"/>
  <c r="J67" i="17"/>
  <c r="J88" i="17" s="1"/>
  <c r="I67" i="17"/>
  <c r="I88" i="17" s="1"/>
  <c r="H67" i="17"/>
  <c r="H88" i="17" s="1"/>
  <c r="G67" i="17"/>
  <c r="G88" i="17" s="1"/>
  <c r="L88" i="17" s="1"/>
  <c r="L66" i="17"/>
  <c r="L65" i="17"/>
  <c r="L64" i="17"/>
  <c r="L63" i="17"/>
  <c r="L67" i="17" s="1"/>
  <c r="K61" i="17"/>
  <c r="K103" i="17"/>
  <c r="J61" i="17"/>
  <c r="J103" i="17"/>
  <c r="I61" i="17"/>
  <c r="I103" i="17"/>
  <c r="H61" i="17"/>
  <c r="H103" i="17"/>
  <c r="G61" i="17"/>
  <c r="G103" i="17"/>
  <c r="L60" i="17"/>
  <c r="L59" i="17"/>
  <c r="L61" i="17" s="1"/>
  <c r="K57" i="17"/>
  <c r="K102" i="17"/>
  <c r="J57" i="17"/>
  <c r="J102" i="17"/>
  <c r="I57" i="17"/>
  <c r="I102" i="17"/>
  <c r="H57" i="17"/>
  <c r="H102" i="17"/>
  <c r="G57" i="17"/>
  <c r="G102" i="17"/>
  <c r="L56" i="17"/>
  <c r="L55" i="17"/>
  <c r="L54" i="17"/>
  <c r="L53" i="17"/>
  <c r="L52" i="17"/>
  <c r="L51" i="17"/>
  <c r="K49" i="17"/>
  <c r="K87" i="17" s="1"/>
  <c r="K105" i="17"/>
  <c r="J49" i="17"/>
  <c r="J105" i="17"/>
  <c r="I49" i="17"/>
  <c r="I87" i="17"/>
  <c r="H49" i="17"/>
  <c r="H87" i="17"/>
  <c r="G49" i="17"/>
  <c r="G87" i="17"/>
  <c r="L48" i="17"/>
  <c r="L108" i="17"/>
  <c r="L47" i="17"/>
  <c r="L107" i="17"/>
  <c r="L46" i="17"/>
  <c r="L106" i="17"/>
  <c r="G37" i="17"/>
  <c r="H37" i="17"/>
  <c r="H38" i="17" s="1"/>
  <c r="G35" i="17"/>
  <c r="H35" i="17"/>
  <c r="H36" i="17" s="1"/>
  <c r="G33" i="17"/>
  <c r="G31" i="17"/>
  <c r="H31" i="17" s="1"/>
  <c r="G29" i="17"/>
  <c r="G27" i="17"/>
  <c r="G23" i="17"/>
  <c r="G18" i="17"/>
  <c r="G19" i="17" s="1"/>
  <c r="G16" i="17"/>
  <c r="G14" i="17"/>
  <c r="H14" i="17" s="1"/>
  <c r="G12" i="17"/>
  <c r="H12" i="17" s="1"/>
  <c r="G10" i="17"/>
  <c r="H10" i="17" s="1"/>
  <c r="G8" i="17"/>
  <c r="H8" i="17" s="1"/>
  <c r="G6" i="17"/>
  <c r="H6" i="17" s="1"/>
  <c r="G105" i="17"/>
  <c r="I35" i="17"/>
  <c r="I36" i="17" s="1"/>
  <c r="G30" i="17"/>
  <c r="H29" i="17"/>
  <c r="G32" i="17"/>
  <c r="I37" i="17"/>
  <c r="I38" i="17" s="1"/>
  <c r="G17" i="17"/>
  <c r="H16" i="17"/>
  <c r="H17" i="17" s="1"/>
  <c r="H18" i="17"/>
  <c r="H19" i="17" s="1"/>
  <c r="G7" i="17"/>
  <c r="G34" i="17"/>
  <c r="H33" i="17"/>
  <c r="L77" i="17"/>
  <c r="I105" i="17"/>
  <c r="H105" i="17"/>
  <c r="G15" i="17"/>
  <c r="G9" i="17"/>
  <c r="G36" i="17"/>
  <c r="G11" i="17"/>
  <c r="G38" i="17"/>
  <c r="L57" i="17"/>
  <c r="L49" i="17"/>
  <c r="L109" i="17"/>
  <c r="J87" i="17"/>
  <c r="J86" i="17"/>
  <c r="J20" i="17"/>
  <c r="K20" i="17" s="1"/>
  <c r="K23" i="17" s="1"/>
  <c r="J26" i="17"/>
  <c r="K26" i="17"/>
  <c r="H83" i="1"/>
  <c r="H106" i="1" s="1"/>
  <c r="H80" i="1"/>
  <c r="H103" i="1" s="1"/>
  <c r="H77" i="1"/>
  <c r="H100" i="1" s="1"/>
  <c r="H73" i="1"/>
  <c r="H107" i="1" s="1"/>
  <c r="H70" i="1"/>
  <c r="H109" i="1" s="1"/>
  <c r="H67" i="1"/>
  <c r="H61" i="1"/>
  <c r="H102" i="1"/>
  <c r="H57" i="1"/>
  <c r="H101" i="1" s="1"/>
  <c r="H49" i="1"/>
  <c r="H87" i="1" s="1"/>
  <c r="H23" i="1"/>
  <c r="G108" i="1"/>
  <c r="L69" i="1"/>
  <c r="L70" i="1" s="1"/>
  <c r="L109" i="1" s="1"/>
  <c r="K70" i="1"/>
  <c r="K109" i="1" s="1"/>
  <c r="J70" i="1"/>
  <c r="J109" i="1" s="1"/>
  <c r="I70" i="1"/>
  <c r="I109" i="1" s="1"/>
  <c r="G70" i="1"/>
  <c r="G109" i="1" s="1"/>
  <c r="G35" i="1"/>
  <c r="H35" i="1" s="1"/>
  <c r="G37" i="1"/>
  <c r="G33" i="1"/>
  <c r="H33" i="1" s="1"/>
  <c r="H30" i="17"/>
  <c r="I29" i="17"/>
  <c r="I30" i="17"/>
  <c r="I18" i="17"/>
  <c r="I19" i="17" s="1"/>
  <c r="J37" i="17"/>
  <c r="J38" i="17" s="1"/>
  <c r="I16" i="17"/>
  <c r="I17" i="17" s="1"/>
  <c r="H34" i="17"/>
  <c r="I33" i="17"/>
  <c r="I34" i="17"/>
  <c r="L87" i="17"/>
  <c r="G38" i="1"/>
  <c r="H37" i="1"/>
  <c r="G36" i="1"/>
  <c r="G34" i="1"/>
  <c r="H104" i="1"/>
  <c r="L26" i="17"/>
  <c r="J23" i="17"/>
  <c r="J33" i="17"/>
  <c r="K37" i="17"/>
  <c r="G29" i="1"/>
  <c r="H29" i="1" s="1"/>
  <c r="I29" i="1" s="1"/>
  <c r="J29" i="17"/>
  <c r="J30" i="17" s="1"/>
  <c r="H38" i="1"/>
  <c r="I37" i="1"/>
  <c r="J37" i="1"/>
  <c r="J38" i="1" s="1"/>
  <c r="K38" i="17"/>
  <c r="J34" i="17"/>
  <c r="K33" i="17"/>
  <c r="K34" i="17" s="1"/>
  <c r="I23" i="1"/>
  <c r="P11" i="7"/>
  <c r="Q11" i="7"/>
  <c r="M11" i="7"/>
  <c r="N11" i="7"/>
  <c r="K11" i="7"/>
  <c r="J11" i="7"/>
  <c r="G11" i="7"/>
  <c r="H11" i="7"/>
  <c r="D11" i="7"/>
  <c r="E11" i="7"/>
  <c r="B11" i="7"/>
  <c r="G18" i="1"/>
  <c r="H18" i="1" s="1"/>
  <c r="G31" i="1"/>
  <c r="J49" i="1"/>
  <c r="J104" i="1" s="1"/>
  <c r="K49" i="1"/>
  <c r="K104" i="1" s="1"/>
  <c r="I49" i="1"/>
  <c r="I104" i="1" s="1"/>
  <c r="G49" i="1"/>
  <c r="G87" i="1" s="1"/>
  <c r="I80" i="1"/>
  <c r="I103" i="1" s="1"/>
  <c r="J80" i="1"/>
  <c r="J103" i="1" s="1"/>
  <c r="K80" i="1"/>
  <c r="K103" i="1" s="1"/>
  <c r="G80" i="1"/>
  <c r="G103" i="1" s="1"/>
  <c r="I67" i="1"/>
  <c r="J67" i="1"/>
  <c r="K67" i="1"/>
  <c r="G67" i="1"/>
  <c r="I61" i="1"/>
  <c r="I102" i="1" s="1"/>
  <c r="J61" i="1"/>
  <c r="J102" i="1" s="1"/>
  <c r="K61" i="1"/>
  <c r="K102" i="1" s="1"/>
  <c r="G61" i="1"/>
  <c r="G102" i="1" s="1"/>
  <c r="I57" i="1"/>
  <c r="I101" i="1" s="1"/>
  <c r="J57" i="1"/>
  <c r="J101" i="1" s="1"/>
  <c r="K57" i="1"/>
  <c r="K101" i="1" s="1"/>
  <c r="G57" i="1"/>
  <c r="G101" i="1" s="1"/>
  <c r="G16" i="1"/>
  <c r="G12" i="1"/>
  <c r="H12" i="1"/>
  <c r="I12" i="1" s="1"/>
  <c r="G27" i="1"/>
  <c r="K26" i="1"/>
  <c r="L26" i="1" s="1"/>
  <c r="L82" i="1"/>
  <c r="L83" i="1" s="1"/>
  <c r="L106" i="1" s="1"/>
  <c r="I83" i="1"/>
  <c r="I106" i="1" s="1"/>
  <c r="J83" i="1"/>
  <c r="J106" i="1" s="1"/>
  <c r="K83" i="1"/>
  <c r="K106" i="1" s="1"/>
  <c r="G83" i="1"/>
  <c r="G106" i="1"/>
  <c r="L79" i="1"/>
  <c r="L80" i="1" s="1"/>
  <c r="L103" i="1" s="1"/>
  <c r="L76" i="1"/>
  <c r="L72" i="1"/>
  <c r="L73" i="1" s="1"/>
  <c r="L107" i="1" s="1"/>
  <c r="K73" i="1"/>
  <c r="K107" i="1"/>
  <c r="G73" i="1"/>
  <c r="G107" i="1"/>
  <c r="I73" i="1"/>
  <c r="I107" i="1"/>
  <c r="J73" i="1"/>
  <c r="J107" i="1"/>
  <c r="I77" i="1"/>
  <c r="I100" i="1" s="1"/>
  <c r="J77" i="1"/>
  <c r="J100" i="1" s="1"/>
  <c r="K77" i="1"/>
  <c r="K100" i="1" s="1"/>
  <c r="G77" i="1"/>
  <c r="G100" i="1" s="1"/>
  <c r="L64" i="1"/>
  <c r="L65" i="1"/>
  <c r="L66" i="1"/>
  <c r="L108" i="1" s="1"/>
  <c r="L60" i="1"/>
  <c r="L61" i="1" s="1"/>
  <c r="L102" i="1" s="1"/>
  <c r="L59" i="1"/>
  <c r="L52" i="1"/>
  <c r="L53" i="1"/>
  <c r="L54" i="1"/>
  <c r="L55" i="1"/>
  <c r="L56" i="1"/>
  <c r="L46" i="1"/>
  <c r="L47" i="1"/>
  <c r="L48" i="1"/>
  <c r="G23" i="1"/>
  <c r="L67" i="1"/>
  <c r="I38" i="1"/>
  <c r="K29" i="17"/>
  <c r="K30" i="17" s="1"/>
  <c r="H13" i="1"/>
  <c r="H31" i="1"/>
  <c r="H32" i="1" s="1"/>
  <c r="H16" i="1"/>
  <c r="H17" i="1" s="1"/>
  <c r="L37" i="17"/>
  <c r="G13" i="1"/>
  <c r="G19" i="1"/>
  <c r="G7" i="1"/>
  <c r="G32" i="1"/>
  <c r="G17" i="1"/>
  <c r="I16" i="1"/>
  <c r="J16" i="1" s="1"/>
  <c r="I31" i="1"/>
  <c r="I32" i="1" s="1"/>
  <c r="K37" i="1"/>
  <c r="K38" i="1"/>
  <c r="L113" i="17"/>
  <c r="L49" i="1" l="1"/>
  <c r="L104" i="1" s="1"/>
  <c r="G30" i="1"/>
  <c r="G40" i="1"/>
  <c r="G99" i="1" s="1"/>
  <c r="H7" i="1"/>
  <c r="J6" i="1"/>
  <c r="K6" i="1" s="1"/>
  <c r="K7" i="1" s="1"/>
  <c r="L77" i="1"/>
  <c r="L100" i="1" s="1"/>
  <c r="L57" i="1"/>
  <c r="L101" i="1" s="1"/>
  <c r="G104" i="1"/>
  <c r="L38" i="1"/>
  <c r="D41" i="28"/>
  <c r="Y32" i="28"/>
  <c r="AQ32" i="28" s="1"/>
  <c r="AL5" i="28"/>
  <c r="AM5" i="28"/>
  <c r="Q24" i="28"/>
  <c r="I24" i="28"/>
  <c r="Q23" i="28"/>
  <c r="I23" i="28"/>
  <c r="Q22" i="28"/>
  <c r="I22" i="28"/>
  <c r="Q21" i="28"/>
  <c r="I21" i="28"/>
  <c r="Q20" i="28"/>
  <c r="I20" i="28"/>
  <c r="Q19" i="28"/>
  <c r="I19" i="28"/>
  <c r="Q18" i="28"/>
  <c r="I18" i="28"/>
  <c r="D18" i="28"/>
  <c r="H18" i="28"/>
  <c r="L18" i="28"/>
  <c r="P18" i="28"/>
  <c r="D19" i="28"/>
  <c r="H19" i="28"/>
  <c r="L19" i="28"/>
  <c r="P19" i="28"/>
  <c r="D20" i="28"/>
  <c r="H20" i="28"/>
  <c r="L20" i="28"/>
  <c r="P20" i="28"/>
  <c r="D21" i="28"/>
  <c r="H21" i="28"/>
  <c r="L21" i="28"/>
  <c r="P21" i="28"/>
  <c r="D22" i="28"/>
  <c r="H22" i="28"/>
  <c r="L22" i="28"/>
  <c r="P22" i="28"/>
  <c r="D23" i="28"/>
  <c r="H23" i="28"/>
  <c r="L23" i="28"/>
  <c r="P23" i="28"/>
  <c r="D24" i="28"/>
  <c r="H24" i="28"/>
  <c r="L24" i="28"/>
  <c r="P24" i="28"/>
  <c r="O24" i="28"/>
  <c r="G24" i="28"/>
  <c r="O23" i="28"/>
  <c r="G23" i="28"/>
  <c r="O22" i="28"/>
  <c r="G22" i="28"/>
  <c r="O21" i="28"/>
  <c r="G21" i="28"/>
  <c r="O20" i="28"/>
  <c r="G20" i="28"/>
  <c r="O19" i="28"/>
  <c r="G19" i="28"/>
  <c r="O18" i="28"/>
  <c r="G18" i="28"/>
  <c r="AI5" i="28"/>
  <c r="AA5" i="28"/>
  <c r="R31" i="28"/>
  <c r="AM16" i="28"/>
  <c r="BE15" i="28" s="1"/>
  <c r="AK16" i="28"/>
  <c r="BC15" i="28" s="1"/>
  <c r="P31" i="28"/>
  <c r="N31" i="28"/>
  <c r="AI16" i="28"/>
  <c r="BA15" i="28" s="1"/>
  <c r="AG16" i="28"/>
  <c r="AY15" i="28" s="1"/>
  <c r="L31" i="28"/>
  <c r="J31" i="28"/>
  <c r="AE16" i="28"/>
  <c r="AW15" i="28" s="1"/>
  <c r="F41" i="28"/>
  <c r="AA32" i="28"/>
  <c r="AS32" i="28" s="1"/>
  <c r="X5" i="28"/>
  <c r="AB5" i="28"/>
  <c r="AF5" i="28"/>
  <c r="AJ5" i="28"/>
  <c r="M24" i="28"/>
  <c r="E24" i="28"/>
  <c r="M23" i="28"/>
  <c r="E23" i="28"/>
  <c r="M22" i="28"/>
  <c r="E22" i="28"/>
  <c r="M21" i="28"/>
  <c r="E21" i="28"/>
  <c r="M20" i="28"/>
  <c r="E20" i="28"/>
  <c r="M19" i="28"/>
  <c r="E19" i="28"/>
  <c r="M18" i="28"/>
  <c r="E18" i="28"/>
  <c r="AG5" i="28"/>
  <c r="Y5" i="28"/>
  <c r="F18" i="28"/>
  <c r="J18" i="28"/>
  <c r="N18" i="28"/>
  <c r="R18" i="28"/>
  <c r="F19" i="28"/>
  <c r="J19" i="28"/>
  <c r="N19" i="28"/>
  <c r="R19" i="28"/>
  <c r="F20" i="28"/>
  <c r="J20" i="28"/>
  <c r="N20" i="28"/>
  <c r="R20" i="28"/>
  <c r="F21" i="28"/>
  <c r="J21" i="28"/>
  <c r="N21" i="28"/>
  <c r="R21" i="28"/>
  <c r="F22" i="28"/>
  <c r="J22" i="28"/>
  <c r="N22" i="28"/>
  <c r="R22" i="28"/>
  <c r="F23" i="28"/>
  <c r="J23" i="28"/>
  <c r="N23" i="28"/>
  <c r="R23" i="28"/>
  <c r="F24" i="28"/>
  <c r="J24" i="28"/>
  <c r="N24" i="28"/>
  <c r="R24" i="28"/>
  <c r="Q41" i="28"/>
  <c r="AL32" i="28"/>
  <c r="BD32" i="28" s="1"/>
  <c r="O41" i="28"/>
  <c r="AJ32" i="28"/>
  <c r="BB32" i="28" s="1"/>
  <c r="M41" i="28"/>
  <c r="AH32" i="28"/>
  <c r="AZ32" i="28" s="1"/>
  <c r="K41" i="28"/>
  <c r="AF32" i="28"/>
  <c r="AX32" i="28" s="1"/>
  <c r="I41" i="28"/>
  <c r="AD32" i="28"/>
  <c r="AV32" i="28" s="1"/>
  <c r="G41" i="28"/>
  <c r="AB32" i="28"/>
  <c r="AT32" i="28" s="1"/>
  <c r="E41" i="28"/>
  <c r="Z32" i="28"/>
  <c r="AR32" i="28" s="1"/>
  <c r="C41" i="28"/>
  <c r="X32" i="28"/>
  <c r="AP32" i="28" s="1"/>
  <c r="K16" i="1"/>
  <c r="K17" i="1" s="1"/>
  <c r="J17" i="1"/>
  <c r="L16" i="1"/>
  <c r="J12" i="1"/>
  <c r="I13" i="1"/>
  <c r="H19" i="1"/>
  <c r="I18" i="1"/>
  <c r="H39" i="1"/>
  <c r="J29" i="1"/>
  <c r="I30" i="1"/>
  <c r="L30" i="17"/>
  <c r="I33" i="1"/>
  <c r="H34" i="1"/>
  <c r="I35" i="1"/>
  <c r="H36" i="1"/>
  <c r="H7" i="17"/>
  <c r="I6" i="17"/>
  <c r="H39" i="17"/>
  <c r="I10" i="17"/>
  <c r="H11" i="17"/>
  <c r="I14" i="17"/>
  <c r="H15" i="17"/>
  <c r="H40" i="17"/>
  <c r="H100" i="17" s="1"/>
  <c r="I31" i="17"/>
  <c r="H32" i="17"/>
  <c r="L38" i="17"/>
  <c r="J24" i="1"/>
  <c r="I27" i="1"/>
  <c r="K22" i="17"/>
  <c r="L22" i="17"/>
  <c r="L34" i="17"/>
  <c r="I8" i="17"/>
  <c r="H9" i="17"/>
  <c r="H13" i="17"/>
  <c r="I12" i="17"/>
  <c r="L25" i="17"/>
  <c r="L86" i="17" s="1"/>
  <c r="K86" i="17"/>
  <c r="H11" i="19"/>
  <c r="H14" i="19"/>
  <c r="G15" i="19"/>
  <c r="J26" i="19"/>
  <c r="K26" i="19" s="1"/>
  <c r="L26" i="19"/>
  <c r="L27" i="19"/>
  <c r="I8" i="1"/>
  <c r="H9" i="1"/>
  <c r="I14" i="1"/>
  <c r="J25" i="19"/>
  <c r="K25" i="19" s="1"/>
  <c r="L37" i="1"/>
  <c r="I17" i="1"/>
  <c r="L17" i="1" s="1"/>
  <c r="J31" i="1"/>
  <c r="L21" i="1"/>
  <c r="L33" i="17"/>
  <c r="L29" i="17"/>
  <c r="G39" i="1"/>
  <c r="J87" i="1"/>
  <c r="I87" i="1"/>
  <c r="K87" i="1"/>
  <c r="L20" i="17"/>
  <c r="H30" i="1"/>
  <c r="H40" i="1"/>
  <c r="H99" i="1" s="1"/>
  <c r="J18" i="17"/>
  <c r="J16" i="17"/>
  <c r="J35" i="17"/>
  <c r="G13" i="17"/>
  <c r="I86" i="17"/>
  <c r="G40" i="17"/>
  <c r="G100" i="17" s="1"/>
  <c r="G39" i="17"/>
  <c r="J24" i="17"/>
  <c r="H27" i="1"/>
  <c r="K20" i="1"/>
  <c r="J23" i="1"/>
  <c r="L18" i="19"/>
  <c r="H23" i="17"/>
  <c r="L23" i="17" s="1"/>
  <c r="K8" i="19"/>
  <c r="K9" i="19" s="1"/>
  <c r="L9" i="19" s="1"/>
  <c r="J12" i="19"/>
  <c r="I19" i="19"/>
  <c r="L19" i="19" s="1"/>
  <c r="J16" i="19"/>
  <c r="H37" i="19"/>
  <c r="I29" i="19"/>
  <c r="I10" i="19"/>
  <c r="I31" i="19"/>
  <c r="G39" i="19"/>
  <c r="G7" i="19"/>
  <c r="H6" i="19"/>
  <c r="H17" i="19"/>
  <c r="H23" i="19"/>
  <c r="I20" i="19"/>
  <c r="I22" i="19"/>
  <c r="J22" i="19" s="1"/>
  <c r="K22" i="19" s="1"/>
  <c r="L22" i="19"/>
  <c r="G30" i="19"/>
  <c r="G40" i="19"/>
  <c r="G101" i="19" s="1"/>
  <c r="L34" i="19"/>
  <c r="H35" i="19"/>
  <c r="H11" i="1"/>
  <c r="G15" i="1"/>
  <c r="J10" i="1"/>
  <c r="J21" i="19"/>
  <c r="I88" i="19"/>
  <c r="J7" i="1" l="1"/>
  <c r="L6" i="1"/>
  <c r="L87" i="1"/>
  <c r="L41" i="28"/>
  <c r="AG32" i="28"/>
  <c r="AY32" i="28" s="1"/>
  <c r="P41" i="28"/>
  <c r="AK32" i="28"/>
  <c r="BC32" i="28" s="1"/>
  <c r="X40" i="28"/>
  <c r="AP39" i="28" s="1"/>
  <c r="C52" i="28"/>
  <c r="X48" i="28" s="1"/>
  <c r="E52" i="28"/>
  <c r="Z48" i="28" s="1"/>
  <c r="Z40" i="28"/>
  <c r="AR39" i="28" s="1"/>
  <c r="AB40" i="28"/>
  <c r="AT39" i="28" s="1"/>
  <c r="G52" i="28"/>
  <c r="AB48" i="28" s="1"/>
  <c r="I52" i="28"/>
  <c r="AD48" i="28" s="1"/>
  <c r="AD40" i="28"/>
  <c r="AV39" i="28" s="1"/>
  <c r="AF40" i="28"/>
  <c r="AX39" i="28" s="1"/>
  <c r="K52" i="28"/>
  <c r="AF48" i="28" s="1"/>
  <c r="M52" i="28"/>
  <c r="AH48" i="28" s="1"/>
  <c r="AH40" i="28"/>
  <c r="AZ39" i="28" s="1"/>
  <c r="AJ40" i="28"/>
  <c r="BB39" i="28" s="1"/>
  <c r="O52" i="28"/>
  <c r="AJ48" i="28" s="1"/>
  <c r="Q52" i="28"/>
  <c r="AL48" i="28" s="1"/>
  <c r="AL40" i="28"/>
  <c r="BD39" i="28" s="1"/>
  <c r="F52" i="28"/>
  <c r="AA48" i="28" s="1"/>
  <c r="AA40" i="28"/>
  <c r="AS39" i="28" s="1"/>
  <c r="J41" i="28"/>
  <c r="AE32" i="28"/>
  <c r="AW32" i="28" s="1"/>
  <c r="N41" i="28"/>
  <c r="AI32" i="28"/>
  <c r="BA32" i="28" s="1"/>
  <c r="R41" i="28"/>
  <c r="AM32" i="28"/>
  <c r="BE32" i="28" s="1"/>
  <c r="D52" i="28"/>
  <c r="Y48" i="28" s="1"/>
  <c r="Y40" i="28"/>
  <c r="AQ39" i="28" s="1"/>
  <c r="H7" i="19"/>
  <c r="H39" i="19"/>
  <c r="I6" i="19"/>
  <c r="G100" i="19"/>
  <c r="G41" i="19"/>
  <c r="I32" i="19"/>
  <c r="J31" i="19"/>
  <c r="I30" i="19"/>
  <c r="J29" i="19"/>
  <c r="I37" i="19"/>
  <c r="H38" i="19"/>
  <c r="K23" i="1"/>
  <c r="L23" i="1" s="1"/>
  <c r="L20" i="1"/>
  <c r="K24" i="17"/>
  <c r="K27" i="17" s="1"/>
  <c r="J27" i="17"/>
  <c r="L27" i="17" s="1"/>
  <c r="L24" i="17"/>
  <c r="G43" i="17"/>
  <c r="G106" i="17" s="1"/>
  <c r="K16" i="17"/>
  <c r="K17" i="17" s="1"/>
  <c r="J17" i="17"/>
  <c r="G98" i="1"/>
  <c r="G41" i="1"/>
  <c r="L16" i="17"/>
  <c r="J32" i="1"/>
  <c r="K31" i="1"/>
  <c r="K32" i="1" s="1"/>
  <c r="L8" i="19"/>
  <c r="L7" i="1"/>
  <c r="I32" i="17"/>
  <c r="I40" i="17"/>
  <c r="I100" i="17" s="1"/>
  <c r="J31" i="17"/>
  <c r="I15" i="17"/>
  <c r="J14" i="17"/>
  <c r="J10" i="17"/>
  <c r="I11" i="17"/>
  <c r="I7" i="17"/>
  <c r="J6" i="17"/>
  <c r="I39" i="17"/>
  <c r="I36" i="1"/>
  <c r="J35" i="1"/>
  <c r="J30" i="1"/>
  <c r="K29" i="1"/>
  <c r="H41" i="1"/>
  <c r="H98" i="1"/>
  <c r="J13" i="1"/>
  <c r="K12" i="1"/>
  <c r="K13" i="1" s="1"/>
  <c r="J88" i="19"/>
  <c r="K21" i="19"/>
  <c r="K10" i="1"/>
  <c r="K11" i="1" s="1"/>
  <c r="J11" i="1"/>
  <c r="G43" i="1"/>
  <c r="G105" i="1" s="1"/>
  <c r="L10" i="1"/>
  <c r="I35" i="19"/>
  <c r="H36" i="19"/>
  <c r="I23" i="19"/>
  <c r="J20" i="19"/>
  <c r="G43" i="19"/>
  <c r="G107" i="19" s="1"/>
  <c r="J10" i="19"/>
  <c r="I11" i="19"/>
  <c r="H40" i="19"/>
  <c r="H101" i="19" s="1"/>
  <c r="K16" i="19"/>
  <c r="J17" i="19"/>
  <c r="J13" i="19"/>
  <c r="K12" i="19"/>
  <c r="K13" i="19" s="1"/>
  <c r="L12" i="19"/>
  <c r="G99" i="17"/>
  <c r="G41" i="17"/>
  <c r="K35" i="17"/>
  <c r="J36" i="17"/>
  <c r="K18" i="17"/>
  <c r="K19" i="17" s="1"/>
  <c r="J19" i="17"/>
  <c r="L18" i="17"/>
  <c r="L25" i="19"/>
  <c r="J14" i="1"/>
  <c r="I15" i="1"/>
  <c r="H43" i="1"/>
  <c r="H105" i="1" s="1"/>
  <c r="I9" i="1"/>
  <c r="J8" i="1"/>
  <c r="I39" i="1"/>
  <c r="H15" i="19"/>
  <c r="I14" i="19"/>
  <c r="I13" i="17"/>
  <c r="J12" i="17"/>
  <c r="I9" i="17"/>
  <c r="J8" i="17"/>
  <c r="K24" i="1"/>
  <c r="J27" i="1"/>
  <c r="H41" i="17"/>
  <c r="H99" i="17"/>
  <c r="H43" i="17"/>
  <c r="H106" i="17" s="1"/>
  <c r="I34" i="1"/>
  <c r="J33" i="1"/>
  <c r="I40" i="1"/>
  <c r="I99" i="1" s="1"/>
  <c r="J18" i="1"/>
  <c r="I19" i="1"/>
  <c r="L13" i="1"/>
  <c r="L13" i="19" l="1"/>
  <c r="L11" i="1"/>
  <c r="R52" i="28"/>
  <c r="AM48" i="28" s="1"/>
  <c r="AM40" i="28"/>
  <c r="BE39" i="28" s="1"/>
  <c r="N52" i="28"/>
  <c r="AI48" i="28" s="1"/>
  <c r="AI40" i="28"/>
  <c r="BA39" i="28" s="1"/>
  <c r="J52" i="28"/>
  <c r="AE48" i="28" s="1"/>
  <c r="AE40" i="28"/>
  <c r="AW39" i="28" s="1"/>
  <c r="P52" i="28"/>
  <c r="AK48" i="28" s="1"/>
  <c r="AK40" i="28"/>
  <c r="BC39" i="28" s="1"/>
  <c r="L52" i="28"/>
  <c r="AG48" i="28" s="1"/>
  <c r="AG40" i="28"/>
  <c r="AY39" i="28" s="1"/>
  <c r="I43" i="1"/>
  <c r="I105" i="1" s="1"/>
  <c r="L27" i="1"/>
  <c r="K18" i="1"/>
  <c r="K19" i="1" s="1"/>
  <c r="J19" i="1"/>
  <c r="L19" i="1" s="1"/>
  <c r="L18" i="1"/>
  <c r="J34" i="1"/>
  <c r="K33" i="1"/>
  <c r="K34" i="1" s="1"/>
  <c r="L34" i="1" s="1"/>
  <c r="L33" i="1"/>
  <c r="K27" i="1"/>
  <c r="L24" i="1"/>
  <c r="J14" i="19"/>
  <c r="I15" i="19"/>
  <c r="I98" i="1"/>
  <c r="I41" i="1"/>
  <c r="K36" i="17"/>
  <c r="L36" i="17" s="1"/>
  <c r="L35" i="17"/>
  <c r="K17" i="19"/>
  <c r="L16" i="19"/>
  <c r="J23" i="19"/>
  <c r="L23" i="19" s="1"/>
  <c r="K20" i="19"/>
  <c r="K23" i="19" s="1"/>
  <c r="L20" i="19"/>
  <c r="J40" i="1"/>
  <c r="J99" i="1" s="1"/>
  <c r="J7" i="17"/>
  <c r="J39" i="17"/>
  <c r="K6" i="17"/>
  <c r="J15" i="17"/>
  <c r="K14" i="17"/>
  <c r="K15" i="17" s="1"/>
  <c r="L14" i="17"/>
  <c r="K31" i="17"/>
  <c r="J32" i="17"/>
  <c r="J40" i="17"/>
  <c r="J100" i="17" s="1"/>
  <c r="L31" i="17"/>
  <c r="L40" i="17" s="1"/>
  <c r="L100" i="17" s="1"/>
  <c r="I38" i="19"/>
  <c r="J37" i="19"/>
  <c r="I40" i="19"/>
  <c r="I101" i="19" s="1"/>
  <c r="J32" i="19"/>
  <c r="K31" i="19"/>
  <c r="G84" i="19"/>
  <c r="G44" i="19"/>
  <c r="I7" i="19"/>
  <c r="I39" i="19"/>
  <c r="J6" i="19"/>
  <c r="H43" i="19"/>
  <c r="H107" i="19" s="1"/>
  <c r="H44" i="17"/>
  <c r="H84" i="17"/>
  <c r="J9" i="17"/>
  <c r="K8" i="17"/>
  <c r="K9" i="17" s="1"/>
  <c r="L9" i="17" s="1"/>
  <c r="K12" i="17"/>
  <c r="K13" i="17" s="1"/>
  <c r="L13" i="17" s="1"/>
  <c r="J13" i="17"/>
  <c r="L12" i="17"/>
  <c r="K8" i="1"/>
  <c r="J9" i="1"/>
  <c r="L8" i="1"/>
  <c r="J39" i="1"/>
  <c r="J15" i="1"/>
  <c r="K14" i="1"/>
  <c r="L12" i="1"/>
  <c r="L19" i="17"/>
  <c r="G84" i="17"/>
  <c r="G44" i="17"/>
  <c r="L17" i="19"/>
  <c r="J11" i="19"/>
  <c r="K10" i="19"/>
  <c r="K11" i="19" s="1"/>
  <c r="L11" i="19" s="1"/>
  <c r="I36" i="19"/>
  <c r="J35" i="19"/>
  <c r="K88" i="19"/>
  <c r="L21" i="19"/>
  <c r="L88" i="19" s="1"/>
  <c r="H84" i="1"/>
  <c r="H44" i="1"/>
  <c r="K30" i="1"/>
  <c r="L30" i="1" s="1"/>
  <c r="L29" i="1"/>
  <c r="J36" i="1"/>
  <c r="K35" i="1"/>
  <c r="K36" i="1" s="1"/>
  <c r="I99" i="17"/>
  <c r="I41" i="17"/>
  <c r="I43" i="17"/>
  <c r="I106" i="17" s="1"/>
  <c r="K10" i="17"/>
  <c r="K11" i="17" s="1"/>
  <c r="J11" i="17"/>
  <c r="L10" i="17"/>
  <c r="L31" i="1"/>
  <c r="L32" i="1"/>
  <c r="G84" i="1"/>
  <c r="G44" i="1"/>
  <c r="L17" i="17"/>
  <c r="K29" i="19"/>
  <c r="J30" i="19"/>
  <c r="H100" i="19"/>
  <c r="H41" i="19"/>
  <c r="L15" i="17" l="1"/>
  <c r="L11" i="17"/>
  <c r="L36" i="1"/>
  <c r="K30" i="19"/>
  <c r="L30" i="19" s="1"/>
  <c r="L29" i="19"/>
  <c r="G90" i="1"/>
  <c r="G91" i="1" s="1"/>
  <c r="G92" i="1" s="1"/>
  <c r="G112" i="1" s="1"/>
  <c r="G110" i="1"/>
  <c r="K40" i="1"/>
  <c r="K99" i="1" s="1"/>
  <c r="H90" i="1"/>
  <c r="H91" i="1" s="1"/>
  <c r="H111" i="1" s="1"/>
  <c r="H110" i="1"/>
  <c r="G90" i="17"/>
  <c r="G91" i="17" s="1"/>
  <c r="G93" i="17" s="1"/>
  <c r="G111" i="17"/>
  <c r="K9" i="1"/>
  <c r="K39" i="1"/>
  <c r="H111" i="17"/>
  <c r="H90" i="17"/>
  <c r="H91" i="17" s="1"/>
  <c r="H112" i="17" s="1"/>
  <c r="K6" i="19"/>
  <c r="J39" i="19"/>
  <c r="J7" i="19"/>
  <c r="I43" i="19"/>
  <c r="I107" i="19" s="1"/>
  <c r="G92" i="19"/>
  <c r="G93" i="19" s="1"/>
  <c r="G94" i="19" s="1"/>
  <c r="G114" i="19" s="1"/>
  <c r="G112" i="19"/>
  <c r="G86" i="19"/>
  <c r="K37" i="19"/>
  <c r="K38" i="19" s="1"/>
  <c r="J38" i="19"/>
  <c r="L38" i="19" s="1"/>
  <c r="L37" i="19"/>
  <c r="K39" i="17"/>
  <c r="K7" i="17"/>
  <c r="J43" i="17"/>
  <c r="J106" i="17" s="1"/>
  <c r="L7" i="17"/>
  <c r="I84" i="1"/>
  <c r="I44" i="1"/>
  <c r="H84" i="19"/>
  <c r="H44" i="19"/>
  <c r="J40" i="19"/>
  <c r="J101" i="19" s="1"/>
  <c r="I44" i="17"/>
  <c r="I84" i="17"/>
  <c r="L35" i="1"/>
  <c r="L40" i="1" s="1"/>
  <c r="L99" i="1" s="1"/>
  <c r="K35" i="19"/>
  <c r="J36" i="19"/>
  <c r="L6" i="19"/>
  <c r="L10" i="19"/>
  <c r="L6" i="17"/>
  <c r="K15" i="1"/>
  <c r="L15" i="1" s="1"/>
  <c r="L14" i="1"/>
  <c r="L39" i="1" s="1"/>
  <c r="J41" i="1"/>
  <c r="J98" i="1"/>
  <c r="J43" i="1"/>
  <c r="J105" i="1" s="1"/>
  <c r="L8" i="17"/>
  <c r="I41" i="19"/>
  <c r="I100" i="19"/>
  <c r="K32" i="19"/>
  <c r="L32" i="19" s="1"/>
  <c r="L31" i="19"/>
  <c r="K32" i="17"/>
  <c r="L32" i="17" s="1"/>
  <c r="K40" i="17"/>
  <c r="K100" i="17" s="1"/>
  <c r="J41" i="17"/>
  <c r="J99" i="17"/>
  <c r="K14" i="19"/>
  <c r="J15" i="19"/>
  <c r="K43" i="17" l="1"/>
  <c r="K106" i="17" s="1"/>
  <c r="L43" i="17"/>
  <c r="L103" i="17" s="1"/>
  <c r="H93" i="17"/>
  <c r="H113" i="17"/>
  <c r="K43" i="1"/>
  <c r="K105" i="1" s="1"/>
  <c r="H92" i="1"/>
  <c r="H112" i="1" s="1"/>
  <c r="L41" i="1"/>
  <c r="L98" i="1"/>
  <c r="K15" i="19"/>
  <c r="L15" i="19" s="1"/>
  <c r="L14" i="19"/>
  <c r="L39" i="17"/>
  <c r="L39" i="19"/>
  <c r="K36" i="19"/>
  <c r="L36" i="19" s="1"/>
  <c r="L35" i="19"/>
  <c r="I90" i="17"/>
  <c r="I91" i="17" s="1"/>
  <c r="I112" i="17" s="1"/>
  <c r="I111" i="17"/>
  <c r="H112" i="19"/>
  <c r="H86" i="19"/>
  <c r="H92" i="19"/>
  <c r="H93" i="19" s="1"/>
  <c r="H113" i="19" s="1"/>
  <c r="J100" i="19"/>
  <c r="J41" i="19"/>
  <c r="K40" i="19"/>
  <c r="K101" i="19" s="1"/>
  <c r="L9" i="1"/>
  <c r="L43" i="1" s="1"/>
  <c r="L105" i="1" s="1"/>
  <c r="J44" i="17"/>
  <c r="J84" i="17"/>
  <c r="I84" i="19"/>
  <c r="I44" i="19"/>
  <c r="J44" i="1"/>
  <c r="J84" i="1"/>
  <c r="I90" i="1"/>
  <c r="I91" i="1" s="1"/>
  <c r="I111" i="1" s="1"/>
  <c r="I110" i="1"/>
  <c r="K99" i="17"/>
  <c r="K41" i="17"/>
  <c r="G113" i="19"/>
  <c r="J43" i="19"/>
  <c r="J107" i="19" s="1"/>
  <c r="K39" i="19"/>
  <c r="K7" i="19"/>
  <c r="K43" i="19" s="1"/>
  <c r="K107" i="19" s="1"/>
  <c r="K98" i="1"/>
  <c r="K41" i="1"/>
  <c r="G112" i="17"/>
  <c r="G113" i="17" s="1"/>
  <c r="G111" i="1"/>
  <c r="L40" i="19"/>
  <c r="L101" i="19" s="1"/>
  <c r="I92" i="1" l="1"/>
  <c r="I112" i="1" s="1"/>
  <c r="I113" i="17"/>
  <c r="I93" i="17"/>
  <c r="K100" i="19"/>
  <c r="K41" i="19"/>
  <c r="J90" i="1"/>
  <c r="J91" i="1" s="1"/>
  <c r="J92" i="1" s="1"/>
  <c r="J112" i="1" s="1"/>
  <c r="J110" i="1"/>
  <c r="J111" i="17"/>
  <c r="J90" i="17"/>
  <c r="J91" i="17" s="1"/>
  <c r="J93" i="17" s="1"/>
  <c r="L100" i="19"/>
  <c r="L41" i="19"/>
  <c r="K84" i="1"/>
  <c r="K44" i="1"/>
  <c r="L7" i="19"/>
  <c r="L43" i="19" s="1"/>
  <c r="L107" i="19" s="1"/>
  <c r="K44" i="17"/>
  <c r="K84" i="17"/>
  <c r="I92" i="19"/>
  <c r="I93" i="19" s="1"/>
  <c r="I113" i="19" s="1"/>
  <c r="I86" i="19"/>
  <c r="I112" i="19"/>
  <c r="J44" i="19"/>
  <c r="J84" i="19"/>
  <c r="H94" i="19"/>
  <c r="H114" i="19" s="1"/>
  <c r="L99" i="17"/>
  <c r="L41" i="17"/>
  <c r="L44" i="1"/>
  <c r="L84" i="1"/>
  <c r="I94" i="19" l="1"/>
  <c r="I114" i="19" s="1"/>
  <c r="J86" i="19"/>
  <c r="J92" i="19"/>
  <c r="J93" i="19" s="1"/>
  <c r="J112" i="19"/>
  <c r="K111" i="17"/>
  <c r="K90" i="17"/>
  <c r="K91" i="17" s="1"/>
  <c r="K112" i="17" s="1"/>
  <c r="L84" i="19"/>
  <c r="L44" i="19"/>
  <c r="K44" i="19"/>
  <c r="K84" i="19"/>
  <c r="L90" i="1"/>
  <c r="L91" i="1" s="1"/>
  <c r="L111" i="1" s="1"/>
  <c r="L110" i="1"/>
  <c r="L44" i="17"/>
  <c r="L104" i="17" s="1"/>
  <c r="L101" i="17"/>
  <c r="L84" i="17"/>
  <c r="K90" i="1"/>
  <c r="K91" i="1" s="1"/>
  <c r="K111" i="1" s="1"/>
  <c r="K110" i="1"/>
  <c r="J112" i="17"/>
  <c r="J113" i="17" s="1"/>
  <c r="J111" i="1"/>
  <c r="L92" i="1" l="1"/>
  <c r="L112" i="1" s="1"/>
  <c r="L111" i="17"/>
  <c r="L90" i="17"/>
  <c r="L91" i="17" s="1"/>
  <c r="L93" i="17" s="1"/>
  <c r="K86" i="19"/>
  <c r="K92" i="19"/>
  <c r="K93" i="19" s="1"/>
  <c r="K113" i="19" s="1"/>
  <c r="K112" i="19"/>
  <c r="K94" i="19"/>
  <c r="K114" i="19" s="1"/>
  <c r="L92" i="19"/>
  <c r="L93" i="19" s="1"/>
  <c r="L113" i="19" s="1"/>
  <c r="L86" i="19"/>
  <c r="L112" i="19"/>
  <c r="J113" i="19"/>
  <c r="M91" i="1"/>
  <c r="M91" i="17"/>
  <c r="K92" i="1"/>
  <c r="K112" i="1" s="1"/>
  <c r="K93" i="17"/>
  <c r="K113" i="17"/>
  <c r="J94" i="19"/>
  <c r="J114" i="19" s="1"/>
  <c r="M93" i="19" l="1"/>
  <c r="L94" i="19"/>
  <c r="L114" i="19" s="1"/>
  <c r="L112" i="17"/>
</calcChain>
</file>

<file path=xl/sharedStrings.xml><?xml version="1.0" encoding="utf-8"?>
<sst xmlns="http://schemas.openxmlformats.org/spreadsheetml/2006/main" count="895" uniqueCount="364">
  <si>
    <t>Year 2</t>
  </si>
  <si>
    <t>Year 3</t>
  </si>
  <si>
    <t>Year 4</t>
  </si>
  <si>
    <t>Year 5</t>
  </si>
  <si>
    <t>Salary</t>
  </si>
  <si>
    <t xml:space="preserve">  Benefits</t>
  </si>
  <si>
    <t xml:space="preserve">  QTR</t>
  </si>
  <si>
    <t xml:space="preserve">  Health</t>
  </si>
  <si>
    <t>Wages</t>
  </si>
  <si>
    <t>TOTAL DIRECT COSTS</t>
  </si>
  <si>
    <t>QTR</t>
  </si>
  <si>
    <t>Equipment (Over 5k)</t>
  </si>
  <si>
    <t>EXCLUSIONS</t>
  </si>
  <si>
    <t>Cumulative</t>
  </si>
  <si>
    <t>TOTAL F&amp;A - 13</t>
  </si>
  <si>
    <t>MTDC</t>
  </si>
  <si>
    <t>TD</t>
  </si>
  <si>
    <t>TC</t>
  </si>
  <si>
    <t>SWB</t>
  </si>
  <si>
    <t>Other</t>
  </si>
  <si>
    <t>Total Costs</t>
  </si>
  <si>
    <t>Total Direct Costs</t>
  </si>
  <si>
    <t>Other (Off-Site Rental &amp; Stipends, Etc)</t>
  </si>
  <si>
    <t>Total Salary &amp; Wages</t>
  </si>
  <si>
    <t>Total Capital Equipment</t>
  </si>
  <si>
    <t>Total Salary</t>
  </si>
  <si>
    <t>Total Wages</t>
  </si>
  <si>
    <t>Total Goods/Services</t>
  </si>
  <si>
    <t>Total Travel</t>
  </si>
  <si>
    <t>Total Subcontracts/Restricted</t>
  </si>
  <si>
    <t>Total Phone Equip Rental/Line/Cell Charges</t>
  </si>
  <si>
    <t>Total Personal Services Contracts</t>
  </si>
  <si>
    <t>Total Computer Services</t>
  </si>
  <si>
    <t>Total Stipends/Subsides</t>
  </si>
  <si>
    <t>Total Salaries/Wages/Benefits</t>
  </si>
  <si>
    <t>Total Benefits</t>
  </si>
  <si>
    <t>TOTAL COSTS</t>
  </si>
  <si>
    <t>COST SHARE</t>
  </si>
  <si>
    <t>% FTE</t>
  </si>
  <si>
    <t>Category/Object</t>
  </si>
  <si>
    <t>Salaries - 00</t>
  </si>
  <si>
    <t>Wages  - 01</t>
  </si>
  <si>
    <t>Goods/Services  - 03</t>
  </si>
  <si>
    <t>Travel - 04</t>
  </si>
  <si>
    <t>Computer Services - 05</t>
  </si>
  <si>
    <t>Equipment  - 06</t>
  </si>
  <si>
    <t>Benefits - 07</t>
  </si>
  <si>
    <t>Stipends/Subsides  - 08</t>
  </si>
  <si>
    <t>Phone  - 11</t>
  </si>
  <si>
    <t>Subcontracts/Restricted  - 14</t>
  </si>
  <si>
    <t>F&amp;A - 13</t>
  </si>
  <si>
    <t>Base</t>
  </si>
  <si>
    <t>Pay Rate</t>
  </si>
  <si>
    <t># Mos.</t>
  </si>
  <si>
    <t>$ Per Hr.</t>
  </si>
  <si>
    <t># Wks.</t>
  </si>
  <si>
    <t>F&amp;A Base Type:</t>
  </si>
  <si>
    <t>Master Student</t>
  </si>
  <si>
    <t>PhD Student</t>
  </si>
  <si>
    <t>Hrs/Wks</t>
  </si>
  <si>
    <t>become eligible for PERS if they work 70 or more hours per month in any five months of a 12 month period.</t>
  </si>
  <si>
    <t>IF ANY INTERNATIONAL COLLABORATION OR FOREIGN INVOLVEMENT IN THIS PROPOSAL IS EXPECTED PLEASE REVIEW THE INFORMATIN FOUND AT http://www.ogrd.wsu.edu/international.asp</t>
  </si>
  <si>
    <t>Total</t>
  </si>
  <si>
    <t>*No PERS, No Health (less than 70 hrs a month)</t>
  </si>
  <si>
    <t>***PERS, Health, Med (6 consecutive mths PT work)</t>
  </si>
  <si>
    <t>**Non-Student Temporary</t>
  </si>
  <si>
    <r>
      <rPr>
        <sz val="11"/>
        <rFont val="Century Gothic"/>
        <family val="2"/>
      </rPr>
      <t>Personal Service Contract</t>
    </r>
    <r>
      <rPr>
        <sz val="12"/>
        <rFont val="Century Gothic"/>
        <family val="2"/>
      </rPr>
      <t xml:space="preserve">  - 02</t>
    </r>
  </si>
  <si>
    <t>Part-time Student:</t>
  </si>
  <si>
    <t>Full time Student:</t>
  </si>
  <si>
    <t>Materials and Supplies/Services</t>
  </si>
  <si>
    <t>Publications</t>
  </si>
  <si>
    <t>The Non-Student Temporary rate shows with and without PERS and medical insurance.  Non-Student Temporary Employees (NSTEs)</t>
  </si>
  <si>
    <t>NSTEs become eligible for medical insurance in the seventh month if they work 480 or more hours in a consecutive six month period. They must</t>
  </si>
  <si>
    <t xml:space="preserve">work in the first month of the six month period. (These WSU contributions are absorbed by the departments in subobjects HE, HF, HM and MD)  </t>
  </si>
  <si>
    <t>**PERS with No Health  (more than 70 hours for 5 mths)</t>
  </si>
  <si>
    <t>Please see Guideline 2 for further information.</t>
  </si>
  <si>
    <r>
      <rPr>
        <b/>
        <u/>
        <sz val="14"/>
        <rFont val="Century Gothic"/>
        <family val="2"/>
      </rPr>
      <t>Approved By:</t>
    </r>
    <r>
      <rPr>
        <b/>
        <sz val="14"/>
        <rFont val="Century Gothic"/>
        <family val="2"/>
      </rPr>
      <t xml:space="preserve">  </t>
    </r>
  </si>
  <si>
    <r>
      <t xml:space="preserve">Date: </t>
    </r>
    <r>
      <rPr>
        <sz val="12"/>
        <rFont val="Century Gothic"/>
        <family val="2"/>
      </rPr>
      <t xml:space="preserve"> </t>
    </r>
  </si>
  <si>
    <t xml:space="preserve"> </t>
  </si>
  <si>
    <t>Percent of Time &amp; Effort to Person Months (PM)</t>
  </si>
  <si>
    <t>Interactive Conversion Table</t>
  </si>
  <si>
    <t>3 month</t>
  </si>
  <si>
    <t>6 month</t>
  </si>
  <si>
    <t>8 month</t>
  </si>
  <si>
    <t>9 month</t>
  </si>
  <si>
    <t>10 month</t>
  </si>
  <si>
    <t>12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</si>
  <si>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</si>
  <si>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</si>
  <si>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</si>
  <si>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</si>
  <si>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</si>
  <si>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</si>
  <si>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</si>
  <si>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</si>
  <si>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</si>
  <si>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</si>
  <si>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</si>
  <si>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</si>
  <si>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To use the chart simply insert the percent effort that you want to convert into the -0- of the 3 mo. Summer Term % effort line and</t>
  </si>
  <si>
    <t>hit enter.  The person month for 3, 6, 8, 9, 10, and 12 will be displayed simultaneously.</t>
  </si>
  <si>
    <t xml:space="preserve">There are three basic salary (wage) bases: Calendar Year, Academic Year and Summer Term. Here is a month/week/days   </t>
  </si>
  <si>
    <t>breakout for each:</t>
  </si>
  <si>
    <t>Academic Year (AY)</t>
  </si>
  <si>
    <t>9 months</t>
  </si>
  <si>
    <t>39 weeks</t>
  </si>
  <si>
    <t>273 days</t>
  </si>
  <si>
    <t>Summer Term (SM)</t>
  </si>
  <si>
    <t>3 months</t>
  </si>
  <si>
    <t>13 weeks</t>
  </si>
  <si>
    <t>90 days</t>
  </si>
  <si>
    <t xml:space="preserve">Calendar Year (CY) </t>
  </si>
  <si>
    <t>12 months</t>
  </si>
  <si>
    <t>52 weeks</t>
  </si>
  <si>
    <t>365 days</t>
  </si>
  <si>
    <t>To fill out the budget forms for the SF 424 R&amp;R grantees will need to convert percent-of-effort to person months.  Below are</t>
  </si>
  <si>
    <t>a two examples of how person months are applied:</t>
  </si>
  <si>
    <t>Example 1:</t>
  </si>
  <si>
    <t>A PI on an AY appointment at a salary of $63,000 will have a monthly salary of $7,000 (one-ninth of the AY).</t>
  </si>
  <si>
    <t xml:space="preserve">25% of AY effort would equate to 2.25 person months (9x.25=2.25).  The Budget figure for that effort would be </t>
  </si>
  <si>
    <t>$15,750 (7,000 multiplied by 2.25 AY months).</t>
  </si>
  <si>
    <t>Example 2:</t>
  </si>
  <si>
    <t xml:space="preserve">A PI on a CY appointment at a salary of $72,000 will have a monthly salary of $6,000 (one-twelfth of total CY </t>
  </si>
  <si>
    <t xml:space="preserve">salary).  25% of CY effort would equate to 3 CY months (12x.25=3).  The budget figure for that effort would </t>
  </si>
  <si>
    <t>be$18,000 (6,000 multiplied by 3 CY months).</t>
  </si>
  <si>
    <t>Step 32</t>
  </si>
  <si>
    <t>Step 26</t>
  </si>
  <si>
    <t>FTE</t>
  </si>
  <si>
    <t>Apptmt/Grant Begins:</t>
  </si>
  <si>
    <t>Amount Un-Inflated (AY)</t>
  </si>
  <si>
    <t xml:space="preserve">Summer Un-Inflated </t>
  </si>
  <si>
    <t>Amount Inflated Twice(AY)</t>
  </si>
  <si>
    <t>Apptmt</t>
  </si>
  <si>
    <t>AY + 3 SUM</t>
  </si>
  <si>
    <t>AY in 99</t>
  </si>
  <si>
    <t>SUM 99</t>
  </si>
  <si>
    <t>AY in 00</t>
  </si>
  <si>
    <t>AY + 2 SUM</t>
  </si>
  <si>
    <t>11 month</t>
  </si>
  <si>
    <t>AY 99</t>
  </si>
  <si>
    <t>AY 00</t>
  </si>
  <si>
    <t>AY + 1 SUM</t>
  </si>
  <si>
    <t>AY</t>
  </si>
  <si>
    <t>3 SUM</t>
  </si>
  <si>
    <t>SUM 00</t>
  </si>
  <si>
    <t>2 SUM</t>
  </si>
  <si>
    <t>2 month</t>
  </si>
  <si>
    <t>1 SUM</t>
  </si>
  <si>
    <t>1 month</t>
  </si>
  <si>
    <t>Amount Inflated Once (AY)</t>
  </si>
  <si>
    <t>GRA QUALIFIED TUITION REDUCTION</t>
  </si>
  <si>
    <t>Resident Tuition Parameters</t>
  </si>
  <si>
    <t>Non-Resident Tuition Parameters</t>
  </si>
  <si>
    <t>GRA Health Ins. Parameters</t>
  </si>
  <si>
    <t xml:space="preserve">NOTE: Inflate </t>
  </si>
  <si>
    <t>per year</t>
  </si>
  <si>
    <t>Resident QTR</t>
  </si>
  <si>
    <t>AY + SUM</t>
  </si>
  <si>
    <t>AY ONLY</t>
  </si>
  <si>
    <t>SUM ONLY</t>
  </si>
  <si>
    <t>1-3</t>
  </si>
  <si>
    <t xml:space="preserve">SUM 99 </t>
  </si>
  <si>
    <t>Non-Resident QTR</t>
  </si>
  <si>
    <t>AY 0</t>
  </si>
  <si>
    <t>1.5-3</t>
  </si>
  <si>
    <t>AY 1999/2000</t>
  </si>
  <si>
    <t>GRA HEALTH INSURANCE</t>
  </si>
  <si>
    <t>Any &gt; 9month</t>
  </si>
  <si>
    <t>Faculty:</t>
  </si>
  <si>
    <t>Exempt:</t>
  </si>
  <si>
    <t>Classified Staff:</t>
  </si>
  <si>
    <t>Benefit Calculations</t>
  </si>
  <si>
    <t xml:space="preserve">  Rate</t>
  </si>
  <si>
    <t>TIAA-CREF</t>
  </si>
  <si>
    <t>FEDERAL</t>
  </si>
  <si>
    <t>OASI - .062</t>
  </si>
  <si>
    <t>OASI - n/a</t>
  </si>
  <si>
    <t>Medicare - .0145</t>
  </si>
  <si>
    <t>CSRS .07</t>
  </si>
  <si>
    <t>TOTAL BENEFITS</t>
  </si>
  <si>
    <t>Benefit Rate</t>
  </si>
  <si>
    <t>TSP - .05</t>
  </si>
  <si>
    <t>Year 1</t>
  </si>
  <si>
    <t>**Non Student Temporary</t>
  </si>
  <si>
    <t xml:space="preserve">*Non-Student Temporary: </t>
  </si>
  <si>
    <t xml:space="preserve">Domestic: </t>
  </si>
  <si>
    <t xml:space="preserve">Foreign: </t>
  </si>
  <si>
    <t xml:space="preserve">PI's Name: </t>
  </si>
  <si>
    <t>xx</t>
  </si>
  <si>
    <t xml:space="preserve">Agency/due date:  </t>
  </si>
  <si>
    <t>Cognizant Agency: DHHS - Helen Fung, 415-437-7820</t>
  </si>
  <si>
    <t>**F&amp;A Rate</t>
  </si>
  <si>
    <t>Small &amp; Attractive Items - 16</t>
  </si>
  <si>
    <t>Subcontracts/Restricted - 14</t>
  </si>
  <si>
    <t>Communications - 11</t>
  </si>
  <si>
    <t>Example: Laptop (agency approval required)</t>
  </si>
  <si>
    <t xml:space="preserve">http://public.wsu.edu/~forms/HTML/BPPM/70_Purchasing/70.09_Expenditure_Objects_and_Subobjects.htm#state </t>
  </si>
  <si>
    <t>See Note directly to the left</t>
  </si>
  <si>
    <t>See Note directly to the left regarding QTR</t>
  </si>
  <si>
    <t>Personal Services Contracts - 02</t>
  </si>
  <si>
    <t>Stipends/Subsides - 08</t>
  </si>
  <si>
    <t>Goods/Services - 03</t>
  </si>
  <si>
    <t>Capital Equipment - 06 ($5,000 +)</t>
  </si>
  <si>
    <t>Wages - 01</t>
  </si>
  <si>
    <t>Small&amp;Attractive - 16</t>
  </si>
  <si>
    <t>*Benefits</t>
  </si>
  <si>
    <t>Washington State University</t>
  </si>
  <si>
    <t>BUSINESS POLICIES AND PROCEDURES MANUAL</t>
  </si>
  <si>
    <t>PURCHASING</t>
  </si>
  <si>
    <t>Revised 9-06</t>
  </si>
  <si>
    <t>Controller's Office</t>
  </si>
  <si>
    <t>335-2013</t>
  </si>
  <si>
    <t>Expenditure Objects and Subobjects</t>
  </si>
  <si>
    <t>PDF link</t>
  </si>
  <si>
    <t>ENTER CODING</t>
  </si>
  <si>
    <t>OBJECT</t>
  </si>
  <si>
    <t>The object identifies a basic expenditure type. Objects are identified as follows:</t>
  </si>
  <si>
    <t>Obj</t>
  </si>
  <si>
    <t>Expenditure Type</t>
  </si>
  <si>
    <t>Definition</t>
  </si>
  <si>
    <t>Salaries</t>
  </si>
  <si>
    <t>Salaries are amounts paid to individuals rendering services as employees under regular full- or part-time appointments.</t>
  </si>
  <si>
    <t>Wages are amounts paid to individuals who render services as employees and who do not hold regular full- or part-time appointments. Basis of pay is usually hourly or piecework effected by means of temporary employment.</t>
  </si>
  <si>
    <t>Personal Services Contract</t>
  </si>
  <si>
    <t>Goods and Services</t>
  </si>
  <si>
    <t>Travel</t>
  </si>
  <si>
    <t>Computer Services</t>
  </si>
  <si>
    <t>Employee Benefits</t>
  </si>
  <si>
    <t>Grants and Subsidies</t>
  </si>
  <si>
    <t>Grants and subsidies are amounts expended for subsidies to individuals, e.g., scholarships and fellowships, prizes and awards, room and board, loans, and stipends.</t>
  </si>
  <si>
    <t>Telephone Equipment Rental</t>
  </si>
  <si>
    <t>Telephone equipment rental expenses are payments for the installation and rental of telephone systems, switchboards, and accessories.</t>
  </si>
  <si>
    <t>Facilities and Administrative Costs</t>
  </si>
  <si>
    <t>Facilities and administrative costs are amounts charged to accounts (normally in programs 11-14 inclusive) representing general University overhead applicable to the conduct of activity recorded in the account.</t>
  </si>
  <si>
    <t>Merchandise for Resale</t>
  </si>
  <si>
    <t>Merchandise for resale costs are amounts expended for the acquisition of merchandise purchased for resale, including purchase costs, freight-in costs, and inventory adjustments less returns and discounts.</t>
  </si>
  <si>
    <t>The merchandise for resale object code is to be used only for proprietary funds (4XX, 5XX series). For all other funds, departments must use the object-subobject code 03-BM (supplies for resale).</t>
  </si>
  <si>
    <t>Equipment--Noncapitalized</t>
  </si>
  <si>
    <t>Prior Year Carry Forward</t>
  </si>
  <si>
    <t>This object code is used as an offset when allocating prior year balance-forward accounts (object 19) to operating budgets in the current year budget.</t>
  </si>
  <si>
    <t>Prior Year Balance Forward</t>
  </si>
  <si>
    <t>This object code is used to bring forward the net balance from a prior fiscal year.</t>
  </si>
  <si>
    <t>STATE FUNDS AND</t>
  </si>
  <si>
    <t>OTHER FUNDS NOT SUPPORTED BY GRANTS AND CONTRACTS</t>
  </si>
  <si>
    <t>Object Codes for Goods, Services, and Equipment</t>
  </si>
  <si>
    <t>Select</t>
  </si>
  <si>
    <t>Object #</t>
  </si>
  <si>
    <t>Item Description</t>
  </si>
  <si>
    <t>Cost</t>
  </si>
  <si>
    <t>Consumables, parts for inventoried equipment, services</t>
  </si>
  <si>
    <t>any amount</t>
  </si>
  <si>
    <t>Software licensed for one year or less</t>
  </si>
  <si>
    <t>Software licensed for more than one year</t>
  </si>
  <si>
    <t>less than $5,000</t>
  </si>
  <si>
    <t>Equipment (except for laptop computers, weapons, licensed vehicles)</t>
  </si>
  <si>
    <t>Equipment, regardless of funding source</t>
  </si>
  <si>
    <t>more than $5,000</t>
  </si>
  <si>
    <t>Laptop computers, weapons, licensed vehicles</t>
  </si>
  <si>
    <t>GRANT AND/OR CONTRACT FUNDS</t>
  </si>
  <si>
    <t>Remarks</t>
  </si>
  <si>
    <t>Contact SPS for grants and contracts established prior to 6/30/02</t>
  </si>
  <si>
    <t>Equipment</t>
  </si>
  <si>
    <t>Other Objects</t>
  </si>
  <si>
    <t>Other objects not commonly used by departments are not listed. Contact the Controller's Office for a complete listing or refer to the Account Detail/Balances application under "Code Titles."</t>
  </si>
  <si>
    <t>Account Detail/Balances is an Administrative Information Systems (AIS) application. See 85.33 for procedures to obtain approval to view the Account Detail/Balances application.</t>
  </si>
  <si>
    <t>SUBOBJECTS</t>
  </si>
  <si>
    <t>The subobject identifies the nature of a specific object expenditure. Refer to the online Account Balances/Detail application for a complete list of valid subobjects. See 85.33.</t>
  </si>
  <si>
    <t>00</t>
  </si>
  <si>
    <t>01</t>
  </si>
  <si>
    <t>02</t>
  </si>
  <si>
    <t>03</t>
  </si>
  <si>
    <t>04</t>
  </si>
  <si>
    <t>05</t>
  </si>
  <si>
    <t>06</t>
  </si>
  <si>
    <t>Goods and services include the following:
- Purchases of services rendered to the University under express or implied contract (except object 02), typically consisting of both labor and materials, 
- Purchases of commodities ordinarily consumed or expended within one year. 
- • Equipment items with a unit cost of less than $5,000, regardless of funding source other than those required as object 16. See below. 
For assistance with goods and services object coding see also the tables below.</t>
  </si>
  <si>
    <t>Travel costs are:
- The cost of contractual services in connection with carrying persons from place to place,
- Furnishing of accommodations incident to actual travel, and  
- Other expenses necessitated by travel.
The definition of travel costs excludes operating and maintenance costs of Motor Pool.</t>
  </si>
  <si>
    <t>Computer services are charges by Information Technology Services (ITS) for:
- Mainframe computer usage, 
-  Data Storage
- Teleprocessing line charges,
- Data preparation, and
Bursting and decollating reports.
Some computing serices are merely pass-through charges fro ITS and are charged to object 03. These include education and training, systems analysis, programming, and scanning.</t>
  </si>
  <si>
    <r>
      <t xml:space="preserve">Capitalized equipment consists of movable items which have </t>
    </r>
    <r>
      <rPr>
        <b/>
        <u/>
        <sz val="12"/>
        <rFont val="Times New Roman"/>
        <family val="1"/>
      </rPr>
      <t>all</t>
    </r>
    <r>
      <rPr>
        <u/>
        <sz val="12"/>
        <rFont val="Times New Roman"/>
        <family val="1"/>
      </rPr>
      <t xml:space="preserve"> </t>
    </r>
    <r>
      <rPr>
        <sz val="12"/>
        <rFont val="Times New Roman"/>
        <family val="1"/>
      </rPr>
      <t>of the following characteristics:
- A life expectancy of one year or more; 
- A first cost or initial value of $5,000 or more, regardless of funding source; and 
- An identity which does not change with use. 
In addition to the above characteristics, the definition of capitalized equipment includes the following:
- Fabricated materials for equipment if the items meet the criteria indicated above. 
- Accessories or attachments are equipment if the original item was considered equipment and if the attachments or accessories are not replacements for worn out or damaged parts and can only be used with that piece of equipment. 
The definition of capitalized equipment excludes the following:
- Replacement parts;
- Glass or rubber products;
Rented equipment (unless purchased under lease purchase contract);
- Animals (except breeding stock).</t>
    </r>
  </si>
  <si>
    <t>07</t>
  </si>
  <si>
    <t>08</t>
  </si>
  <si>
    <t>Employee benefits are contributions to and expenses of:
- Retirement Plans,
- Pensions,
- Health insurance plans,
- Medical aid,
- Other insurance, and
- Other allowances and benefits in addition to or in lieu of regular salary payments.
The employee benefits object code excludes costs paid by employee.</t>
  </si>
  <si>
    <t xml:space="preserve">Noncapitalized equipment consists of assets that do not meet the University's capitalization policy but are subject to special property control:
- Laptop computers, weapons, or licensed vehicles, regardless of funding source;  Contact Sponsored Programs Services (SPS) regarding grants or contracts established prior to June 30, 2002.
- A life expectancy of one year or more; 
- A first cost or initial value of less than $5,000; 
- An identity which does not change with use. 
For assistance with goods and services object coding see also the tables below.
</t>
  </si>
  <si>
    <t>A personal services contract is an agreement with an independent contractor for the rendering of personal services to the University.  See 70.50.</t>
  </si>
  <si>
    <t>Equipment--Capitalized
                                     Included
                                    Excluded</t>
  </si>
  <si>
    <t>Note: Noncapitalized equipment (under $5,000) and is subject to special property control should be itemized in Object 16 (Small &amp; Attractive Items). See BPPM 70.09 for additional information.</t>
  </si>
  <si>
    <t>* If actual estimate is higher - use the higher rate.</t>
  </si>
  <si>
    <t>Year 1 .1</t>
  </si>
  <si>
    <t>Year 1.2</t>
  </si>
  <si>
    <t>F&amp;A Check</t>
  </si>
  <si>
    <t>Enter Monthly Salary--&gt;</t>
  </si>
  <si>
    <t>For less than full-time employees use part-time salary.</t>
  </si>
  <si>
    <t>Retirement plan may differ from employment category.  To determine retirement plan for current employees review DEPPS "qprexp" screen.</t>
  </si>
  <si>
    <t>Civil Service/Bargaining Unit</t>
  </si>
  <si>
    <t>Administrative Professional</t>
  </si>
  <si>
    <t>Faculty</t>
  </si>
  <si>
    <t>Limited Number of Extension Faculty</t>
  </si>
  <si>
    <t>PERS 1, 2, or 3</t>
  </si>
  <si>
    <t>Rate</t>
  </si>
  <si>
    <t>TIAA-CREF .05 (&lt; age 35)</t>
  </si>
  <si>
    <t>Unempl - .005</t>
  </si>
  <si>
    <t>Health</t>
  </si>
  <si>
    <t>Federal Life*</t>
  </si>
  <si>
    <t xml:space="preserve">    Benefit Rate</t>
  </si>
  <si>
    <t>TIAA-CREF .075 (age 35 +)</t>
  </si>
  <si>
    <t>TIAA-CREF .1 (option age 50 +)</t>
  </si>
  <si>
    <t xml:space="preserve">federal life insurance.  For actual $ </t>
  </si>
  <si>
    <t>review DEPPS "qprexp" screen.</t>
  </si>
  <si>
    <t>Option for AP hired after 7-1-11</t>
  </si>
  <si>
    <t>Option for Faculty hired after 7-1-11</t>
  </si>
  <si>
    <t>PERS 3</t>
  </si>
  <si>
    <t>TRS 3</t>
  </si>
  <si>
    <t>Caution:  For employees with less than a 12-month appointment; factor in health insurance cost for non-pay months.</t>
  </si>
  <si>
    <t xml:space="preserve">Faculty: </t>
  </si>
  <si>
    <t xml:space="preserve">Unrecoverd F&amp;A </t>
  </si>
  <si>
    <t>Departments are responsible for including object and subobject with the account coding on expenditure documents, e.g., IRI, Departmental Requisition, Departmental Purchase Order, State of Washington Invoice Voucher.  
After the Controller's Office has processed an expenditure, it is displayed on the Budget Statement and the online Account Balances/Detail Application by object and subobject. See 30.07 and 30.06.</t>
  </si>
  <si>
    <r>
      <t>Subcontracts (After Initial $25K For Each Subcontract)</t>
    </r>
    <r>
      <rPr>
        <b/>
        <u/>
        <sz val="8"/>
        <rFont val="Century Gothic"/>
        <family val="2"/>
      </rPr>
      <t>YR 2-5 SUB EXCL ENTER BY HAND.</t>
    </r>
  </si>
  <si>
    <r>
      <t xml:space="preserve">Other(Off-Site Rental &amp; Stipends and </t>
    </r>
    <r>
      <rPr>
        <b/>
        <u/>
        <sz val="11"/>
        <rFont val="Century Gothic"/>
        <family val="2"/>
      </rPr>
      <t>3rd Party Cost Share</t>
    </r>
    <r>
      <rPr>
        <sz val="11"/>
        <rFont val="Century Gothic"/>
        <family val="2"/>
      </rPr>
      <t xml:space="preserve">,Etc) </t>
    </r>
    <r>
      <rPr>
        <b/>
        <u/>
        <sz val="11"/>
        <rFont val="Century Gothic"/>
        <family val="2"/>
      </rPr>
      <t>Must be entered by hand</t>
    </r>
  </si>
  <si>
    <r>
      <t xml:space="preserve">Subcontracts </t>
    </r>
    <r>
      <rPr>
        <b/>
        <u/>
        <sz val="12"/>
        <rFont val="Century Gothic"/>
        <family val="2"/>
      </rPr>
      <t xml:space="preserve"> (All subcontract costs) Only applicable for cost sharing</t>
    </r>
  </si>
  <si>
    <t>PARTIAL</t>
  </si>
  <si>
    <t>OR</t>
  </si>
  <si>
    <t>FULL</t>
  </si>
  <si>
    <t>LESS Subcontractor F&amp;A</t>
  </si>
  <si>
    <t>TOTAL DIRECT COSTS WITHOUT SUBCONTRACT F&amp;A</t>
  </si>
  <si>
    <t>Use this number to enter on the PHS 398 Modular Budget form line titled  *Direct Cost less Consortium F&amp;A.</t>
  </si>
  <si>
    <t>Note: Must be in $25K increments up to $250,000/year</t>
  </si>
  <si>
    <t>PhD Student-12mth appt</t>
  </si>
  <si>
    <t>Graduate Assistant benefit rate is</t>
  </si>
  <si>
    <t xml:space="preserve">based on a 50% or greater academic  </t>
  </si>
  <si>
    <t>year appointment.  If less than 50%,</t>
  </si>
  <si>
    <t>not eligible for health insurance.</t>
  </si>
  <si>
    <t>Graduate Assistants</t>
  </si>
  <si>
    <t>Graduate Assistants w/QTR</t>
  </si>
  <si>
    <t>9-mo AY</t>
  </si>
  <si>
    <t>Summer</t>
  </si>
  <si>
    <t>Use the benefit rate calculated by the Benefit Office, not actuals.</t>
  </si>
  <si>
    <t>Agency/due date:</t>
  </si>
  <si>
    <t>Res Assoc:</t>
  </si>
  <si>
    <t>Remember to escalate QTR 7% when calculating QTR and 7% each year after 7/1/2014.</t>
  </si>
  <si>
    <t xml:space="preserve">Remember to escalate QTR 7% </t>
  </si>
  <si>
    <t>Be careful about returning seasonal time-slip; if same person is returning use 71.8% rate</t>
  </si>
  <si>
    <t>Remember to escalate QTR 7%</t>
  </si>
  <si>
    <t>MATRICES FOR GRADUATE RESEARCH ASSISTANTSHIP APPOINTMENTS</t>
  </si>
  <si>
    <t>GRA SALARIES</t>
  </si>
  <si>
    <t>(Assuming Salary Increase 7/1) for GRA and MBA</t>
  </si>
  <si>
    <t>STEP-32 Level Research Assistant -- 50% Appointment  (Inflate 4% for Subsequent Years)</t>
  </si>
  <si>
    <t>STEP-26 Level Research Assistant -- 50% Appointment  (Inflate 4% for Subsequent Years)</t>
  </si>
  <si>
    <t>MBA</t>
  </si>
  <si>
    <t>updated : 7/10/2014</t>
  </si>
  <si>
    <t>update: 7/10/2014</t>
  </si>
  <si>
    <t>Be careful about returning seasonal time-slip; if same person is returning use 63.2% rate</t>
  </si>
  <si>
    <t>*Fringe rate for cost share as of 7/10/2014</t>
  </si>
  <si>
    <t>PERS - .0921</t>
  </si>
  <si>
    <t>Updated 1-12-15</t>
  </si>
  <si>
    <t>Med. Aid  - .22695 x 160</t>
  </si>
  <si>
    <t>FERS  .132</t>
  </si>
  <si>
    <t>Med. Aid  - .2037 x 80</t>
  </si>
  <si>
    <t>Health ($1,011/semester)</t>
  </si>
  <si>
    <t>QTR ($5,272/semester)</t>
  </si>
  <si>
    <t xml:space="preserve">*$13.50 is the average contribution for </t>
  </si>
  <si>
    <t>Volunteer Hours</t>
  </si>
  <si>
    <t>Med. Aid</t>
  </si>
  <si>
    <t>.0603 per hour</t>
  </si>
  <si>
    <t>PERS 3 - .0921</t>
  </si>
  <si>
    <t>TRS 3 - .1039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</si>
</sst>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41" formatCode="_(* #,##0_);_(* \(#,##0\);_(* &quot;-&quot;_);_(@_)"/>
    <numFmt numFmtId="44" formatCode="_(&quot;$&quot;* #,##0.00_);_(&quot;$&quot;* \(#,##0.00\);_(&quot;$&quot;* &quot;-&quot;??_);_(@_)"/>
    <numFmt numFmtId="43" formatCode="_(* #,##0.00_);_(* \(#,##0.00\);_(* &quot;-&quot;??_);_(@_)"/>
    <numFmt numFmtId="164" formatCode="dd\-mmm\-yy"/>
    <numFmt numFmtId="165" formatCode="0.0%"/>
    <numFmt numFmtId="166" formatCode="0.000%"/>
    <numFmt numFmtId="167" formatCode="&quot;$&quot;#,##0.00"/>
    <numFmt numFmtId="168" formatCode="General_)"/>
    <numFmt numFmtId="169" formatCode="0.00000_)"/>
  </numFmts>
  <fonts count="69">
    <font>
      <sz val="10"/>
      <name val="Geneva"/>
    </font>
    <font>
      <b/>
      <sz val="12"/>
      <name val="Century Gothic"/>
      <family val="2"/>
    </font>
    <font>
      <b/>
      <u/>
      <sz val="12"/>
      <name val="Century Gothic"/>
      <family val="2"/>
    </font>
    <font>
      <sz val="12"/>
      <name val="Century Gothic"/>
      <family val="2"/>
    </font>
    <font>
      <i/>
      <sz val="12"/>
      <name val="Century Gothic"/>
      <family val="2"/>
    </font>
    <font>
      <b/>
      <sz val="14"/>
      <name val="Century Gothic"/>
      <family val="2"/>
    </font>
    <font>
      <sz val="9"/>
      <name val="Century Gothic"/>
      <family val="2"/>
    </font>
    <font>
      <b/>
      <sz val="10"/>
      <name val="Century Gothic"/>
      <family val="2"/>
    </font>
    <font>
      <sz val="10"/>
      <name val="Arial"/>
      <family val="2"/>
    </font>
    <font>
      <sz val="11"/>
      <name val="Century Gothic"/>
      <family val="2"/>
    </font>
    <font>
      <sz val="8"/>
      <name val="Century Gothic"/>
      <family val="2"/>
    </font>
    <font>
      <sz val="6"/>
      <name val="Century Gothic"/>
      <family val="2"/>
    </font>
    <font>
      <sz val="12"/>
      <name val="Stone Sans"/>
      <family val="2"/>
    </font>
    <font>
      <b/>
      <sz val="10"/>
      <color rgb="FFFF0000"/>
      <name val="Century Gothic"/>
      <family val="2"/>
    </font>
    <font>
      <b/>
      <u/>
      <sz val="14"/>
      <name val="Century Gothic"/>
      <family val="2"/>
    </font>
    <font>
      <sz val="12"/>
      <name val="Arial"/>
      <family val="2"/>
    </font>
    <font>
      <sz val="9"/>
      <name val="Times New Roman"/>
      <family val="1"/>
    </font>
    <font>
      <sz val="12"/>
      <name val="Arial"/>
      <family val="2"/>
    </font>
    <font>
      <sz val="10"/>
      <name val="Arial"/>
      <family val="2"/>
    </font>
    <font>
      <sz val="9"/>
      <name val="Arial"/>
      <family val="2"/>
    </font>
    <font>
      <sz val="9"/>
      <color indexed="20"/>
      <name val="Arial"/>
      <family val="2"/>
    </font>
    <font>
      <sz val="9"/>
      <color indexed="20"/>
      <name val="Arial"/>
      <family val="2"/>
    </font>
    <font>
      <sz val="9"/>
      <name val="Arial"/>
      <family val="2"/>
    </font>
    <font>
      <u/>
      <sz val="9"/>
      <color indexed="20"/>
      <name val="Arial"/>
      <family val="2"/>
    </font>
    <font>
      <b/>
      <sz val="9"/>
      <name val="Arial"/>
      <family val="2"/>
    </font>
    <font>
      <b/>
      <sz val="9"/>
      <color indexed="10"/>
      <name val="Arial"/>
      <family val="2"/>
    </font>
    <font>
      <b/>
      <sz val="18"/>
      <name val="Century Gothic"/>
      <family val="2"/>
    </font>
    <font>
      <b/>
      <i/>
      <sz val="18"/>
      <name val="Century Gothic"/>
      <family val="2"/>
    </font>
    <font>
      <sz val="10"/>
      <name val="Century Gothic"/>
      <family val="2"/>
    </font>
    <font>
      <sz val="14"/>
      <name val="Century Gothic"/>
      <family val="2"/>
    </font>
    <font>
      <sz val="7"/>
      <name val="Century Gothic"/>
      <family val="2"/>
    </font>
    <font>
      <b/>
      <i/>
      <sz val="10"/>
      <name val="Century Gothic"/>
      <family val="2"/>
    </font>
    <font>
      <i/>
      <sz val="9"/>
      <name val="Century Gothic"/>
      <family val="2"/>
    </font>
    <font>
      <b/>
      <sz val="9"/>
      <name val="Century Gothic"/>
      <family val="2"/>
    </font>
    <font>
      <sz val="10"/>
      <name val="Helv"/>
    </font>
    <font>
      <b/>
      <sz val="6"/>
      <color rgb="FFFF0000"/>
      <name val="Century Gothic"/>
      <family val="2"/>
    </font>
    <font>
      <sz val="10"/>
      <name val="Geneva"/>
      <family val="2"/>
    </font>
    <font>
      <sz val="10"/>
      <name val="Arial"/>
      <family val="2"/>
    </font>
    <font>
      <i/>
      <sz val="10"/>
      <color rgb="FFFF0000"/>
      <name val="Century Gothic"/>
      <family val="2"/>
    </font>
    <font>
      <sz val="12"/>
      <name val="Arial"/>
      <family val="2"/>
    </font>
    <font>
      <b/>
      <i/>
      <sz val="8"/>
      <name val="Century Gothic"/>
      <family val="2"/>
    </font>
    <font>
      <i/>
      <sz val="14"/>
      <color rgb="FFFF0000"/>
      <name val="Calibri"/>
      <family val="2"/>
    </font>
    <font>
      <b/>
      <i/>
      <sz val="12"/>
      <color rgb="FFFF0000"/>
      <name val="Century Gothic"/>
      <family val="2"/>
    </font>
    <font>
      <b/>
      <sz val="12"/>
      <color rgb="FFFF0000"/>
      <name val="Century Gothic"/>
      <family val="2"/>
    </font>
    <font>
      <u/>
      <sz val="10"/>
      <color indexed="12"/>
      <name val="Geneva"/>
      <family val="2"/>
    </font>
    <font>
      <b/>
      <sz val="18"/>
      <name val="Times New Roman"/>
      <family val="1"/>
    </font>
    <font>
      <sz val="12"/>
      <name val="Times New Roman"/>
      <family val="1"/>
    </font>
    <font>
      <u/>
      <sz val="12"/>
      <name val="Times New Roman"/>
      <family val="1"/>
    </font>
    <font>
      <b/>
      <u/>
      <sz val="12"/>
      <name val="Times New Roman"/>
      <family val="1"/>
    </font>
    <font>
      <b/>
      <sz val="12"/>
      <name val="Times New Roman"/>
      <family val="1"/>
    </font>
    <font>
      <b/>
      <sz val="17"/>
      <color theme="0"/>
      <name val="Geneva"/>
    </font>
    <font>
      <sz val="12"/>
      <color rgb="FFFF0000"/>
      <name val="Tahoma"/>
      <family val="2"/>
    </font>
    <font>
      <b/>
      <i/>
      <sz val="10.5"/>
      <color rgb="FFFF0000"/>
      <name val="Century Gothic"/>
      <family val="2"/>
    </font>
    <font>
      <sz val="11"/>
      <name val="Calibri"/>
      <family val="2"/>
    </font>
    <font>
      <b/>
      <sz val="13.5"/>
      <name val="Times New Roman"/>
      <family val="1"/>
    </font>
    <font>
      <b/>
      <i/>
      <u/>
      <sz val="10"/>
      <color rgb="FFFF0000"/>
      <name val="Century Gothic"/>
      <family val="2"/>
    </font>
    <font>
      <sz val="12"/>
      <name val="Geneva"/>
    </font>
    <font>
      <sz val="10"/>
      <name val="Arial"/>
      <family val="2"/>
    </font>
    <font>
      <sz val="11"/>
      <name val="Calibri"/>
      <family val="2"/>
      <scheme val="minor"/>
    </font>
    <font>
      <b/>
      <sz val="20"/>
      <color rgb="FFFF0000"/>
      <name val="Century Gothic"/>
      <family val="2"/>
    </font>
    <font>
      <b/>
      <u/>
      <sz val="8"/>
      <name val="Century Gothic"/>
      <family val="2"/>
    </font>
    <font>
      <b/>
      <u/>
      <sz val="11"/>
      <name val="Century Gothic"/>
      <family val="2"/>
    </font>
    <font>
      <b/>
      <sz val="7.5"/>
      <color rgb="FFFF0000"/>
      <name val="Century Gothic"/>
      <family val="2"/>
    </font>
    <font>
      <sz val="10"/>
      <name val="Arial"/>
    </font>
    <font>
      <u/>
      <sz val="10"/>
      <color indexed="12"/>
      <name val="Arial"/>
      <family val="2"/>
    </font>
    <font>
      <sz val="11"/>
      <color theme="1"/>
      <name val="Century Gothic"/>
      <family val="2"/>
    </font>
    <font>
      <u/>
      <sz val="11"/>
      <name val="Calibri"/>
      <family val="2"/>
      <scheme val="minor"/>
    </font>
    <font>
      <u val="singleAccounting"/>
      <sz val="11"/>
      <name val="Calibri"/>
      <family val="2"/>
      <scheme val="minor"/>
    </font>
    <font>
      <b/>
      <sz val="11"/>
      <name val="Calibri"/>
      <family val="2"/>
      <scheme val="minor"/>
    </font>
  </fonts>
  <fills count="18">
    <fill>
      <patternFill patternType="none"/>
    </fill>
    <fill>
      <patternFill patternType="gray125"/>
    </fill>
    <fill>
      <patternFill patternType="solid">
        <fgColor indexed="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50"/>
        <bgColor indexed="64"/>
      </patternFill>
    </fill>
    <fill>
      <patternFill patternType="solid">
        <fgColor indexed="9"/>
        <bgColor indexed="64"/>
      </patternFill>
    </fill>
    <fill>
      <patternFill patternType="solid">
        <fgColor rgb="FFFFFF99"/>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right/>
      <top style="medium">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ck">
        <color indexed="64"/>
      </top>
      <bottom style="medium">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double">
        <color auto="1"/>
      </top>
      <bottom style="double">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40">
    <xf numFmtId="0" fontId="0" fillId="0" borderId="0"/>
    <xf numFmtId="0" fontId="15" fillId="0" borderId="0"/>
    <xf numFmtId="0" fontId="15" fillId="0" borderId="0"/>
    <xf numFmtId="0" fontId="15" fillId="0" borderId="0"/>
    <xf numFmtId="0" fontId="8" fillId="0" borderId="0"/>
    <xf numFmtId="0" fontId="8" fillId="0" borderId="0"/>
    <xf numFmtId="0" fontId="8" fillId="0" borderId="0"/>
    <xf numFmtId="0" fontId="15" fillId="0" borderId="0"/>
    <xf numFmtId="0" fontId="17" fillId="0" borderId="0"/>
    <xf numFmtId="0" fontId="18" fillId="0" borderId="0"/>
    <xf numFmtId="168"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15" fillId="0" borderId="0"/>
    <xf numFmtId="0" fontId="8"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15" fillId="0" borderId="0"/>
    <xf numFmtId="168" fontId="34"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44" fillId="0" borderId="0" applyNumberFormat="0" applyFill="0" applyBorder="0" applyAlignment="0" applyProtection="0">
      <alignment vertical="top"/>
      <protection locked="0"/>
    </xf>
    <xf numFmtId="0" fontId="36" fillId="0" borderId="0"/>
    <xf numFmtId="43" fontId="57" fillId="0" borderId="0" applyFont="0" applyFill="0" applyBorder="0" applyAlignment="0" applyProtection="0"/>
    <xf numFmtId="44" fontId="5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63" fillId="0" borderId="0" applyFont="0" applyFill="0" applyBorder="0" applyAlignment="0" applyProtection="0"/>
    <xf numFmtId="44" fontId="63" fillId="0" borderId="0" applyFont="0" applyFill="0" applyBorder="0" applyAlignment="0" applyProtection="0"/>
    <xf numFmtId="0" fontId="64"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65" fillId="0" borderId="0"/>
    <xf numFmtId="43" fontId="65" fillId="0" borderId="0" applyFont="0" applyFill="0" applyBorder="0" applyAlignment="0" applyProtection="0"/>
    <xf numFmtId="44" fontId="65" fillId="0" borderId="0" applyFont="0" applyFill="0" applyBorder="0" applyAlignment="0" applyProtection="0"/>
    <xf numFmtId="168" fontId="34" fillId="0" borderId="0"/>
    <xf numFmtId="44" fontId="63" fillId="0" borderId="0" applyFont="0" applyFill="0" applyBorder="0" applyAlignment="0" applyProtection="0"/>
    <xf numFmtId="43" fontId="63" fillId="0" borderId="0" applyFont="0" applyFill="0" applyBorder="0" applyAlignment="0" applyProtection="0"/>
  </cellStyleXfs>
  <cellXfs count="556">
    <xf numFmtId="0" fontId="0" fillId="0" borderId="0" xfId="0"/>
    <xf numFmtId="41" fontId="3" fillId="0" borderId="1" xfId="0" applyNumberFormat="1" applyFont="1" applyFill="1" applyBorder="1"/>
    <xf numFmtId="41" fontId="3" fillId="0" borderId="2" xfId="0" applyNumberFormat="1" applyFont="1" applyFill="1" applyBorder="1"/>
    <xf numFmtId="41" fontId="3" fillId="0" borderId="3" xfId="0" applyNumberFormat="1" applyFont="1" applyFill="1" applyBorder="1"/>
    <xf numFmtId="0" fontId="3" fillId="0" borderId="4" xfId="0" applyFont="1" applyBorder="1"/>
    <xf numFmtId="41" fontId="3" fillId="0" borderId="5" xfId="0" applyNumberFormat="1" applyFont="1" applyBorder="1"/>
    <xf numFmtId="41" fontId="3" fillId="0" borderId="0" xfId="0" applyNumberFormat="1" applyFont="1" applyBorder="1"/>
    <xf numFmtId="41" fontId="3" fillId="0" borderId="4" xfId="0" applyNumberFormat="1" applyFont="1" applyBorder="1"/>
    <xf numFmtId="0" fontId="3" fillId="0" borderId="5" xfId="0" applyFont="1" applyBorder="1"/>
    <xf numFmtId="41" fontId="3" fillId="0" borderId="5" xfId="0" applyNumberFormat="1" applyFont="1" applyFill="1" applyBorder="1"/>
    <xf numFmtId="41" fontId="3" fillId="0" borderId="0" xfId="0" applyNumberFormat="1" applyFont="1" applyFill="1" applyBorder="1"/>
    <xf numFmtId="41" fontId="3" fillId="0" borderId="4" xfId="0" applyNumberFormat="1" applyFont="1" applyFill="1" applyBorder="1"/>
    <xf numFmtId="0" fontId="3" fillId="0" borderId="6" xfId="0" applyFont="1" applyBorder="1" applyAlignment="1">
      <alignment horizontal="right"/>
    </xf>
    <xf numFmtId="41" fontId="3" fillId="0" borderId="7" xfId="0" applyNumberFormat="1" applyFont="1" applyBorder="1"/>
    <xf numFmtId="41" fontId="3" fillId="0" borderId="2" xfId="0" applyNumberFormat="1" applyFont="1" applyBorder="1"/>
    <xf numFmtId="41" fontId="3" fillId="0" borderId="3" xfId="0" applyNumberFormat="1" applyFont="1" applyBorder="1"/>
    <xf numFmtId="0" fontId="3" fillId="0" borderId="4" xfId="0" applyFont="1" applyFill="1" applyBorder="1"/>
    <xf numFmtId="0" fontId="3" fillId="0" borderId="6" xfId="0" applyFont="1" applyBorder="1"/>
    <xf numFmtId="0" fontId="3" fillId="0" borderId="7" xfId="0" applyFont="1" applyBorder="1"/>
    <xf numFmtId="0" fontId="3" fillId="0" borderId="5" xfId="0" applyFont="1" applyFill="1" applyBorder="1"/>
    <xf numFmtId="41" fontId="3" fillId="0" borderId="1" xfId="0" applyNumberFormat="1" applyFont="1" applyBorder="1"/>
    <xf numFmtId="0" fontId="1" fillId="0" borderId="5" xfId="0" applyFont="1" applyFill="1" applyBorder="1"/>
    <xf numFmtId="0" fontId="3" fillId="0" borderId="11" xfId="0" applyFont="1" applyBorder="1"/>
    <xf numFmtId="0" fontId="3" fillId="0" borderId="1" xfId="0" applyFont="1" applyBorder="1"/>
    <xf numFmtId="0" fontId="1" fillId="0" borderId="0" xfId="0" applyFont="1" applyFill="1" applyBorder="1"/>
    <xf numFmtId="41" fontId="3" fillId="0" borderId="14" xfId="0" applyNumberFormat="1" applyFont="1" applyFill="1" applyBorder="1" applyAlignment="1">
      <alignment horizontal="center"/>
    </xf>
    <xf numFmtId="41" fontId="3" fillId="0" borderId="13" xfId="0" applyNumberFormat="1" applyFont="1" applyFill="1" applyBorder="1" applyAlignment="1">
      <alignment horizontal="center"/>
    </xf>
    <xf numFmtId="0" fontId="1" fillId="0" borderId="6" xfId="0" applyFont="1" applyFill="1" applyBorder="1"/>
    <xf numFmtId="0" fontId="1" fillId="0" borderId="7" xfId="0" applyFont="1" applyFill="1" applyBorder="1" applyAlignment="1">
      <alignment horizontal="right"/>
    </xf>
    <xf numFmtId="0" fontId="3" fillId="0" borderId="0" xfId="0" applyFont="1" applyBorder="1"/>
    <xf numFmtId="0" fontId="3" fillId="0" borderId="3" xfId="0" applyFont="1" applyBorder="1"/>
    <xf numFmtId="0" fontId="3" fillId="2" borderId="15" xfId="0" applyFont="1" applyFill="1" applyBorder="1"/>
    <xf numFmtId="0" fontId="1" fillId="0" borderId="4" xfId="0" applyFont="1" applyFill="1" applyBorder="1" applyAlignment="1">
      <alignment horizontal="right"/>
    </xf>
    <xf numFmtId="0" fontId="1" fillId="0" borderId="16" xfId="0" applyFont="1" applyFill="1" applyBorder="1" applyAlignment="1">
      <alignment horizontal="right"/>
    </xf>
    <xf numFmtId="164" fontId="1" fillId="0" borderId="0" xfId="0" applyNumberFormat="1" applyFont="1"/>
    <xf numFmtId="0" fontId="2" fillId="0" borderId="0" xfId="0" applyFont="1" applyAlignment="1">
      <alignment horizontal="center"/>
    </xf>
    <xf numFmtId="0" fontId="3" fillId="0" borderId="0" xfId="0" applyFont="1"/>
    <xf numFmtId="0" fontId="3" fillId="0" borderId="6" xfId="0" applyFont="1" applyFill="1" applyBorder="1"/>
    <xf numFmtId="0" fontId="3" fillId="0" borderId="2" xfId="0" applyFont="1" applyBorder="1"/>
    <xf numFmtId="0" fontId="3" fillId="0" borderId="0" xfId="0" applyFont="1" applyFill="1"/>
    <xf numFmtId="41" fontId="3" fillId="0" borderId="0" xfId="0" applyNumberFormat="1" applyFont="1"/>
    <xf numFmtId="165" fontId="3" fillId="0" borderId="0" xfId="0" applyNumberFormat="1" applyFont="1"/>
    <xf numFmtId="0" fontId="3" fillId="2" borderId="12" xfId="0" applyFont="1" applyFill="1" applyBorder="1"/>
    <xf numFmtId="0" fontId="1" fillId="0" borderId="0" xfId="0" applyFont="1" applyFill="1" applyBorder="1" applyAlignment="1">
      <alignment horizontal="right"/>
    </xf>
    <xf numFmtId="0" fontId="3" fillId="0" borderId="0" xfId="0" applyFont="1" applyFill="1" applyBorder="1"/>
    <xf numFmtId="0" fontId="3" fillId="0" borderId="11" xfId="0" applyFont="1" applyFill="1" applyBorder="1"/>
    <xf numFmtId="0" fontId="1" fillId="0" borderId="11" xfId="0" applyFont="1" applyFill="1" applyBorder="1"/>
    <xf numFmtId="0" fontId="1" fillId="0" borderId="0" xfId="0" applyFont="1" applyBorder="1" applyAlignment="1">
      <alignment horizontal="right"/>
    </xf>
    <xf numFmtId="0" fontId="4" fillId="0" borderId="0" xfId="0" applyFont="1" applyBorder="1" applyAlignment="1">
      <alignment horizontal="right"/>
    </xf>
    <xf numFmtId="0" fontId="4" fillId="0" borderId="11" xfId="0" applyFont="1" applyBorder="1" applyAlignment="1">
      <alignment horizontal="right"/>
    </xf>
    <xf numFmtId="0" fontId="1" fillId="0" borderId="2" xfId="0" applyFont="1" applyBorder="1" applyAlignment="1">
      <alignment horizontal="right"/>
    </xf>
    <xf numFmtId="0" fontId="3" fillId="0" borderId="4" xfId="0" applyFont="1" applyBorder="1" applyAlignment="1">
      <alignment horizontal="right"/>
    </xf>
    <xf numFmtId="0" fontId="1" fillId="2" borderId="13" xfId="0" applyFont="1" applyFill="1" applyBorder="1" applyAlignment="1">
      <alignment horizontal="right"/>
    </xf>
    <xf numFmtId="41" fontId="3" fillId="2" borderId="13" xfId="0" applyNumberFormat="1" applyFont="1" applyFill="1" applyBorder="1"/>
    <xf numFmtId="165" fontId="1" fillId="0" borderId="0" xfId="0" applyNumberFormat="1" applyFont="1" applyFill="1" applyBorder="1" applyAlignment="1">
      <alignment horizontal="right"/>
    </xf>
    <xf numFmtId="9" fontId="1" fillId="0" borderId="0" xfId="0" applyNumberFormat="1" applyFont="1" applyBorder="1" applyAlignment="1">
      <alignment horizontal="right"/>
    </xf>
    <xf numFmtId="0" fontId="3" fillId="0" borderId="1" xfId="0" applyFont="1" applyFill="1" applyBorder="1"/>
    <xf numFmtId="0" fontId="3" fillId="0" borderId="0" xfId="0" applyFont="1" applyBorder="1" applyAlignment="1"/>
    <xf numFmtId="0" fontId="3" fillId="0" borderId="5" xfId="0" applyFont="1" applyBorder="1" applyAlignment="1">
      <alignment horizontal="left"/>
    </xf>
    <xf numFmtId="0" fontId="3" fillId="0" borderId="0" xfId="0" applyFont="1" applyFill="1" applyBorder="1" applyAlignment="1"/>
    <xf numFmtId="0" fontId="3" fillId="0" borderId="2" xfId="0" applyFont="1" applyFill="1" applyBorder="1" applyAlignment="1"/>
    <xf numFmtId="0" fontId="3" fillId="0" borderId="11" xfId="0" applyFont="1" applyBorder="1" applyAlignment="1"/>
    <xf numFmtId="0" fontId="3" fillId="0" borderId="19" xfId="0" applyFont="1" applyBorder="1"/>
    <xf numFmtId="4" fontId="3" fillId="0" borderId="22" xfId="0" applyNumberFormat="1" applyFont="1" applyBorder="1" applyAlignment="1">
      <alignment horizontal="right"/>
    </xf>
    <xf numFmtId="2" fontId="3" fillId="0" borderId="22" xfId="0" applyNumberFormat="1" applyFont="1" applyBorder="1" applyAlignment="1">
      <alignment horizontal="right"/>
    </xf>
    <xf numFmtId="2" fontId="3" fillId="0" borderId="22" xfId="0" applyNumberFormat="1" applyFont="1" applyBorder="1"/>
    <xf numFmtId="0" fontId="4" fillId="0" borderId="18" xfId="0" applyFont="1" applyBorder="1" applyAlignment="1">
      <alignment horizontal="right"/>
    </xf>
    <xf numFmtId="0" fontId="3" fillId="0" borderId="24" xfId="0" applyFont="1" applyBorder="1" applyAlignment="1">
      <alignment horizontal="left"/>
    </xf>
    <xf numFmtId="0" fontId="3" fillId="0" borderId="25" xfId="0" applyFont="1" applyBorder="1" applyAlignment="1">
      <alignment horizontal="right"/>
    </xf>
    <xf numFmtId="165" fontId="1" fillId="0" borderId="2" xfId="0" applyNumberFormat="1" applyFont="1" applyFill="1" applyBorder="1" applyAlignment="1">
      <alignment horizontal="right"/>
    </xf>
    <xf numFmtId="164" fontId="1" fillId="0" borderId="1" xfId="0" applyNumberFormat="1" applyFont="1" applyFill="1" applyBorder="1"/>
    <xf numFmtId="164" fontId="1" fillId="0" borderId="2" xfId="0" applyNumberFormat="1" applyFont="1" applyFill="1" applyBorder="1"/>
    <xf numFmtId="165" fontId="1" fillId="0" borderId="3" xfId="0" applyNumberFormat="1" applyFont="1" applyFill="1" applyBorder="1"/>
    <xf numFmtId="164" fontId="1" fillId="0" borderId="6" xfId="0" applyNumberFormat="1" applyFont="1" applyFill="1" applyBorder="1"/>
    <xf numFmtId="164" fontId="1" fillId="0" borderId="11" xfId="0" applyNumberFormat="1" applyFont="1" applyFill="1" applyBorder="1"/>
    <xf numFmtId="165" fontId="1" fillId="0" borderId="7" xfId="0" applyNumberFormat="1" applyFont="1" applyFill="1" applyBorder="1"/>
    <xf numFmtId="0" fontId="1" fillId="0" borderId="3" xfId="0" applyFont="1" applyBorder="1" applyAlignment="1">
      <alignment horizontal="right"/>
    </xf>
    <xf numFmtId="0" fontId="1" fillId="0" borderId="4" xfId="0" applyFont="1" applyBorder="1" applyAlignment="1">
      <alignment horizontal="right"/>
    </xf>
    <xf numFmtId="0" fontId="1" fillId="0" borderId="28" xfId="0" applyFont="1" applyBorder="1" applyAlignment="1">
      <alignment horizontal="right"/>
    </xf>
    <xf numFmtId="0" fontId="4" fillId="0" borderId="4" xfId="0" applyFont="1" applyBorder="1" applyAlignment="1">
      <alignment horizontal="right"/>
    </xf>
    <xf numFmtId="165" fontId="3" fillId="0" borderId="27" xfId="0" applyNumberFormat="1" applyFont="1" applyFill="1" applyBorder="1" applyAlignment="1">
      <alignment horizontal="right"/>
    </xf>
    <xf numFmtId="165" fontId="3" fillId="0" borderId="7" xfId="0" applyNumberFormat="1" applyFont="1" applyFill="1" applyBorder="1" applyAlignment="1">
      <alignment horizontal="right"/>
    </xf>
    <xf numFmtId="2" fontId="3" fillId="0" borderId="29" xfId="0" applyNumberFormat="1" applyFont="1" applyBorder="1"/>
    <xf numFmtId="0" fontId="3" fillId="0" borderId="24" xfId="0" applyFont="1" applyBorder="1"/>
    <xf numFmtId="10" fontId="3" fillId="0" borderId="30" xfId="0" applyNumberFormat="1" applyFont="1" applyBorder="1" applyAlignment="1">
      <alignment horizontal="center"/>
    </xf>
    <xf numFmtId="10" fontId="3" fillId="0" borderId="20" xfId="0" applyNumberFormat="1" applyFont="1" applyBorder="1" applyAlignment="1">
      <alignment horizontal="center"/>
    </xf>
    <xf numFmtId="0" fontId="4" fillId="0" borderId="20" xfId="0" applyFont="1" applyBorder="1" applyAlignment="1">
      <alignment horizontal="right"/>
    </xf>
    <xf numFmtId="0" fontId="3" fillId="0" borderId="20" xfId="0" applyFont="1" applyBorder="1" applyAlignment="1"/>
    <xf numFmtId="0" fontId="3" fillId="0" borderId="30" xfId="0" applyFont="1" applyBorder="1"/>
    <xf numFmtId="0" fontId="13" fillId="0" borderId="0" xfId="0" applyFont="1"/>
    <xf numFmtId="165" fontId="13" fillId="0" borderId="0" xfId="0" applyNumberFormat="1" applyFont="1"/>
    <xf numFmtId="41" fontId="13" fillId="0" borderId="0" xfId="0" applyNumberFormat="1" applyFont="1"/>
    <xf numFmtId="0" fontId="9" fillId="0" borderId="5" xfId="0" applyFont="1" applyBorder="1" applyAlignment="1">
      <alignment horizontal="left"/>
    </xf>
    <xf numFmtId="167" fontId="3" fillId="0" borderId="0" xfId="0" applyNumberFormat="1" applyFont="1" applyFill="1" applyBorder="1" applyAlignment="1"/>
    <xf numFmtId="166" fontId="3" fillId="3" borderId="14" xfId="0" applyNumberFormat="1" applyFont="1" applyFill="1" applyBorder="1" applyAlignment="1">
      <alignment horizontal="center"/>
    </xf>
    <xf numFmtId="167" fontId="3" fillId="0" borderId="2" xfId="0" applyNumberFormat="1" applyFont="1" applyFill="1" applyBorder="1" applyAlignment="1"/>
    <xf numFmtId="167" fontId="3" fillId="0" borderId="11" xfId="0" applyNumberFormat="1" applyFont="1" applyBorder="1" applyAlignment="1"/>
    <xf numFmtId="41" fontId="3" fillId="0" borderId="27" xfId="0" applyNumberFormat="1" applyFont="1" applyBorder="1"/>
    <xf numFmtId="0" fontId="3" fillId="0" borderId="5" xfId="0" applyNumberFormat="1" applyFont="1" applyFill="1" applyBorder="1"/>
    <xf numFmtId="0" fontId="3" fillId="0" borderId="0" xfId="0" applyNumberFormat="1" applyFont="1" applyFill="1" applyBorder="1"/>
    <xf numFmtId="0" fontId="11" fillId="0" borderId="0" xfId="0" applyFont="1" applyBorder="1"/>
    <xf numFmtId="0" fontId="3" fillId="0" borderId="4" xfId="0" applyNumberFormat="1" applyFont="1" applyFill="1" applyBorder="1"/>
    <xf numFmtId="10" fontId="3" fillId="0" borderId="0" xfId="0" applyNumberFormat="1" applyFont="1"/>
    <xf numFmtId="0" fontId="12" fillId="0" borderId="0" xfId="0" applyFont="1" applyBorder="1" applyAlignment="1">
      <alignment horizontal="left"/>
    </xf>
    <xf numFmtId="0" fontId="12" fillId="0" borderId="0" xfId="0" applyFont="1" applyBorder="1"/>
    <xf numFmtId="41" fontId="12" fillId="0" borderId="0" xfId="0" applyNumberFormat="1" applyFont="1"/>
    <xf numFmtId="0" fontId="12" fillId="0" borderId="0" xfId="0" quotePrefix="1" applyFont="1" applyBorder="1" applyAlignment="1">
      <alignment horizontal="left"/>
    </xf>
    <xf numFmtId="0" fontId="12" fillId="0" borderId="0" xfId="0" applyFont="1"/>
    <xf numFmtId="0" fontId="1" fillId="4" borderId="14" xfId="0" applyFont="1" applyFill="1" applyBorder="1"/>
    <xf numFmtId="0" fontId="1" fillId="4" borderId="1" xfId="0" applyFont="1" applyFill="1" applyBorder="1" applyAlignment="1">
      <alignment horizontal="center"/>
    </xf>
    <xf numFmtId="0" fontId="1" fillId="4" borderId="17" xfId="0" applyFont="1" applyFill="1" applyBorder="1" applyAlignment="1">
      <alignment horizontal="center"/>
    </xf>
    <xf numFmtId="0" fontId="3" fillId="4" borderId="5" xfId="0" applyFont="1" applyFill="1" applyBorder="1"/>
    <xf numFmtId="165" fontId="1" fillId="4" borderId="0" xfId="0" applyNumberFormat="1" applyFont="1" applyFill="1" applyBorder="1"/>
    <xf numFmtId="41" fontId="1" fillId="4" borderId="13" xfId="0" applyNumberFormat="1" applyFont="1" applyFill="1" applyBorder="1" applyAlignment="1">
      <alignment horizontal="center"/>
    </xf>
    <xf numFmtId="41" fontId="1" fillId="4" borderId="14" xfId="0" applyNumberFormat="1" applyFont="1" applyFill="1" applyBorder="1" applyAlignment="1">
      <alignment horizontal="center"/>
    </xf>
    <xf numFmtId="0" fontId="1" fillId="4" borderId="6" xfId="0" applyFont="1" applyFill="1" applyBorder="1"/>
    <xf numFmtId="0" fontId="1" fillId="4" borderId="16" xfId="0" applyFont="1" applyFill="1" applyBorder="1" applyAlignment="1">
      <alignment horizontal="center"/>
    </xf>
    <xf numFmtId="0" fontId="1" fillId="4" borderId="7" xfId="0" applyFont="1" applyFill="1" applyBorder="1" applyAlignment="1">
      <alignment horizontal="center"/>
    </xf>
    <xf numFmtId="0" fontId="4" fillId="4" borderId="6" xfId="0" applyFont="1" applyFill="1" applyBorder="1" applyAlignment="1">
      <alignment horizontal="right"/>
    </xf>
    <xf numFmtId="165" fontId="1" fillId="4" borderId="7" xfId="0" applyNumberFormat="1" applyFont="1" applyFill="1" applyBorder="1" applyAlignment="1">
      <alignment horizontal="right"/>
    </xf>
    <xf numFmtId="41" fontId="3" fillId="4" borderId="12" xfId="0" applyNumberFormat="1" applyFont="1" applyFill="1" applyBorder="1"/>
    <xf numFmtId="41" fontId="3" fillId="4" borderId="15" xfId="0" applyNumberFormat="1" applyFont="1" applyFill="1" applyBorder="1"/>
    <xf numFmtId="41" fontId="3" fillId="4" borderId="13" xfId="0" applyNumberFormat="1" applyFont="1" applyFill="1" applyBorder="1"/>
    <xf numFmtId="0" fontId="1" fillId="4" borderId="12" xfId="0" applyFont="1" applyFill="1" applyBorder="1"/>
    <xf numFmtId="0" fontId="1" fillId="4" borderId="15" xfId="0" applyFont="1" applyFill="1" applyBorder="1"/>
    <xf numFmtId="0" fontId="1" fillId="4" borderId="12" xfId="0" applyFont="1" applyFill="1" applyBorder="1" applyAlignment="1">
      <alignment horizontal="center"/>
    </xf>
    <xf numFmtId="41" fontId="1" fillId="4" borderId="17" xfId="0" applyNumberFormat="1" applyFont="1" applyFill="1" applyBorder="1" applyAlignment="1">
      <alignment horizontal="center"/>
    </xf>
    <xf numFmtId="41" fontId="1" fillId="4" borderId="16" xfId="0" applyNumberFormat="1" applyFont="1" applyFill="1" applyBorder="1" applyAlignment="1">
      <alignment horizontal="center"/>
    </xf>
    <xf numFmtId="41" fontId="3" fillId="0" borderId="0" xfId="0" applyNumberFormat="1" applyFont="1" applyFill="1" applyBorder="1"/>
    <xf numFmtId="0" fontId="3" fillId="0" borderId="0" xfId="0" applyFont="1"/>
    <xf numFmtId="41" fontId="3" fillId="0" borderId="0" xfId="0" applyNumberFormat="1" applyFont="1"/>
    <xf numFmtId="41" fontId="3" fillId="5" borderId="10" xfId="0" applyNumberFormat="1" applyFont="1" applyFill="1" applyBorder="1"/>
    <xf numFmtId="0" fontId="1" fillId="5" borderId="12" xfId="0" applyFont="1" applyFill="1" applyBorder="1" applyAlignment="1">
      <alignment horizontal="left"/>
    </xf>
    <xf numFmtId="0" fontId="1" fillId="5" borderId="15" xfId="0" applyFont="1" applyFill="1" applyBorder="1" applyAlignment="1">
      <alignment horizontal="left"/>
    </xf>
    <xf numFmtId="0" fontId="3" fillId="5" borderId="13" xfId="0" applyFont="1" applyFill="1" applyBorder="1"/>
    <xf numFmtId="0" fontId="1" fillId="5" borderId="12" xfId="0" applyFont="1" applyFill="1" applyBorder="1"/>
    <xf numFmtId="0" fontId="1" fillId="5" borderId="15" xfId="0" applyFont="1" applyFill="1" applyBorder="1"/>
    <xf numFmtId="0" fontId="3" fillId="5" borderId="15" xfId="0" applyFont="1" applyFill="1" applyBorder="1"/>
    <xf numFmtId="0" fontId="19" fillId="0" borderId="0" xfId="9" applyFont="1"/>
    <xf numFmtId="0" fontId="20" fillId="0" borderId="0" xfId="9" applyFont="1" applyAlignment="1">
      <alignment horizontal="center"/>
    </xf>
    <xf numFmtId="0" fontId="20" fillId="0" borderId="0" xfId="9" applyFont="1"/>
    <xf numFmtId="0" fontId="19" fillId="0" borderId="0" xfId="9" applyFont="1" applyAlignment="1">
      <alignment horizontal="center"/>
    </xf>
    <xf numFmtId="0" fontId="20" fillId="6" borderId="0" xfId="9" applyFont="1" applyFill="1" applyAlignment="1">
      <alignment horizontal="center"/>
    </xf>
    <xf numFmtId="0" fontId="19" fillId="6" borderId="0" xfId="9" applyFont="1" applyFill="1"/>
    <xf numFmtId="0" fontId="20" fillId="6" borderId="0" xfId="9" applyFont="1" applyFill="1"/>
    <xf numFmtId="0" fontId="20" fillId="6" borderId="0" xfId="9" applyFont="1" applyFill="1" applyBorder="1" applyAlignment="1">
      <alignment horizontal="center"/>
    </xf>
    <xf numFmtId="0" fontId="23" fillId="6" borderId="0" xfId="9" applyFont="1" applyFill="1"/>
    <xf numFmtId="0" fontId="20" fillId="6" borderId="0" xfId="9" applyFont="1" applyFill="1" applyAlignment="1">
      <alignment horizontal="right"/>
    </xf>
    <xf numFmtId="0" fontId="21" fillId="6" borderId="0" xfId="9" applyFont="1" applyFill="1" applyAlignment="1">
      <alignment horizontal="right"/>
    </xf>
    <xf numFmtId="0" fontId="19" fillId="0" borderId="18" xfId="9" applyFont="1" applyBorder="1"/>
    <xf numFmtId="0" fontId="24" fillId="7" borderId="19" xfId="9" applyFont="1" applyFill="1" applyBorder="1"/>
    <xf numFmtId="2" fontId="24" fillId="7" borderId="19" xfId="9" applyNumberFormat="1" applyFont="1" applyFill="1" applyBorder="1"/>
    <xf numFmtId="2" fontId="24" fillId="7" borderId="0" xfId="9" applyNumberFormat="1" applyFont="1" applyFill="1" applyBorder="1"/>
    <xf numFmtId="1" fontId="24" fillId="7" borderId="0" xfId="9" applyNumberFormat="1" applyFont="1" applyFill="1" applyBorder="1"/>
    <xf numFmtId="2" fontId="24" fillId="0" borderId="0" xfId="9" applyNumberFormat="1" applyFont="1" applyBorder="1"/>
    <xf numFmtId="0" fontId="19" fillId="0" borderId="0" xfId="9" applyFont="1" applyBorder="1"/>
    <xf numFmtId="0" fontId="24" fillId="0" borderId="0" xfId="9" applyFont="1"/>
    <xf numFmtId="2" fontId="24" fillId="7" borderId="19" xfId="9" applyNumberFormat="1" applyFont="1" applyFill="1" applyBorder="1" applyAlignment="1">
      <alignment horizontal="right"/>
    </xf>
    <xf numFmtId="2" fontId="24" fillId="7" borderId="19" xfId="9" applyNumberFormat="1" applyFont="1" applyFill="1" applyBorder="1" applyAlignment="1">
      <alignment horizontal="center"/>
    </xf>
    <xf numFmtId="0" fontId="22" fillId="7" borderId="11" xfId="9" applyFont="1" applyFill="1" applyBorder="1"/>
    <xf numFmtId="2" fontId="22" fillId="7" borderId="11" xfId="9" applyNumberFormat="1" applyFont="1" applyFill="1" applyBorder="1"/>
    <xf numFmtId="2" fontId="24" fillId="7" borderId="11" xfId="9" applyNumberFormat="1" applyFont="1" applyFill="1" applyBorder="1"/>
    <xf numFmtId="0" fontId="19" fillId="0" borderId="11" xfId="9" applyFont="1" applyBorder="1"/>
    <xf numFmtId="2" fontId="19" fillId="0" borderId="0" xfId="9" applyNumberFormat="1" applyFont="1"/>
    <xf numFmtId="0" fontId="25" fillId="0" borderId="0" xfId="9" applyFont="1"/>
    <xf numFmtId="2" fontId="25" fillId="0" borderId="0" xfId="9" applyNumberFormat="1" applyFont="1"/>
    <xf numFmtId="0" fontId="16" fillId="0" borderId="0" xfId="9" applyFont="1"/>
    <xf numFmtId="0" fontId="16" fillId="0" borderId="0" xfId="9" applyFont="1" applyAlignment="1">
      <alignment horizontal="right" vertical="center"/>
    </xf>
    <xf numFmtId="0" fontId="16" fillId="0" borderId="0" xfId="9" applyFont="1" applyAlignment="1">
      <alignment horizontal="left" indent="8"/>
    </xf>
    <xf numFmtId="0" fontId="22" fillId="0" borderId="0" xfId="9" applyFont="1"/>
    <xf numFmtId="0" fontId="18" fillId="0" borderId="0" xfId="9"/>
    <xf numFmtId="2" fontId="18" fillId="0" borderId="0" xfId="9" applyNumberFormat="1"/>
    <xf numFmtId="41" fontId="35" fillId="0" borderId="0" xfId="0" applyNumberFormat="1" applyFont="1"/>
    <xf numFmtId="0" fontId="38" fillId="0" borderId="0" xfId="0" applyFont="1"/>
    <xf numFmtId="14" fontId="1" fillId="0" borderId="17" xfId="0" applyNumberFormat="1" applyFont="1" applyFill="1" applyBorder="1" applyAlignment="1">
      <alignment horizontal="center"/>
    </xf>
    <xf numFmtId="14" fontId="1" fillId="0" borderId="16" xfId="0" applyNumberFormat="1" applyFont="1" applyFill="1" applyBorder="1" applyAlignment="1">
      <alignment horizontal="center" vertical="center"/>
    </xf>
    <xf numFmtId="14" fontId="3" fillId="0" borderId="0" xfId="0" applyNumberFormat="1" applyFont="1"/>
    <xf numFmtId="0" fontId="2" fillId="0" borderId="0" xfId="0" applyFont="1" applyFill="1" applyProtection="1"/>
    <xf numFmtId="0" fontId="43" fillId="0" borderId="5" xfId="0" applyFont="1" applyBorder="1" applyAlignment="1">
      <alignment horizontal="left"/>
    </xf>
    <xf numFmtId="0" fontId="1" fillId="9" borderId="12" xfId="0" applyFont="1" applyFill="1" applyBorder="1"/>
    <xf numFmtId="0" fontId="1" fillId="9" borderId="15" xfId="0" applyFont="1" applyFill="1" applyBorder="1"/>
    <xf numFmtId="0" fontId="3" fillId="9" borderId="13" xfId="0" applyFont="1" applyFill="1" applyBorder="1"/>
    <xf numFmtId="0" fontId="3" fillId="9" borderId="1" xfId="0" applyFont="1" applyFill="1" applyBorder="1"/>
    <xf numFmtId="0" fontId="3" fillId="9" borderId="2" xfId="0" applyFont="1" applyFill="1" applyBorder="1"/>
    <xf numFmtId="0" fontId="3" fillId="9" borderId="3" xfId="0" applyFont="1" applyFill="1" applyBorder="1"/>
    <xf numFmtId="41" fontId="3" fillId="9" borderId="5" xfId="0" applyNumberFormat="1" applyFont="1" applyFill="1" applyBorder="1"/>
    <xf numFmtId="41" fontId="3" fillId="9" borderId="2" xfId="0" applyNumberFormat="1" applyFont="1" applyFill="1" applyBorder="1"/>
    <xf numFmtId="41" fontId="3" fillId="9" borderId="3" xfId="0" applyNumberFormat="1" applyFont="1" applyFill="1" applyBorder="1"/>
    <xf numFmtId="0" fontId="1" fillId="9" borderId="6" xfId="0" applyFont="1" applyFill="1" applyBorder="1"/>
    <xf numFmtId="0" fontId="1" fillId="9" borderId="11" xfId="0" applyFont="1" applyFill="1" applyBorder="1"/>
    <xf numFmtId="0" fontId="3" fillId="9" borderId="7" xfId="0" applyFont="1" applyFill="1" applyBorder="1"/>
    <xf numFmtId="41" fontId="3" fillId="9" borderId="1" xfId="0" applyNumberFormat="1" applyFont="1" applyFill="1" applyBorder="1"/>
    <xf numFmtId="0" fontId="44" fillId="9" borderId="15" xfId="219" applyFill="1" applyBorder="1" applyAlignment="1" applyProtection="1">
      <alignment horizontal="left"/>
      <protection locked="0"/>
    </xf>
    <xf numFmtId="0" fontId="1" fillId="9" borderId="13" xfId="0" applyFont="1" applyFill="1" applyBorder="1"/>
    <xf numFmtId="0" fontId="1" fillId="9" borderId="1" xfId="0" applyFont="1" applyFill="1" applyBorder="1"/>
    <xf numFmtId="0" fontId="1" fillId="9" borderId="2" xfId="0" applyFont="1" applyFill="1" applyBorder="1"/>
    <xf numFmtId="0" fontId="1" fillId="9" borderId="3" xfId="0" applyFont="1" applyFill="1" applyBorder="1"/>
    <xf numFmtId="0" fontId="3" fillId="9" borderId="15" xfId="0" applyFont="1" applyFill="1" applyBorder="1"/>
    <xf numFmtId="41" fontId="3" fillId="9" borderId="13" xfId="0" applyNumberFormat="1" applyFont="1" applyFill="1" applyBorder="1"/>
    <xf numFmtId="167" fontId="3" fillId="0" borderId="29" xfId="0" applyNumberFormat="1" applyFont="1" applyBorder="1"/>
    <xf numFmtId="167" fontId="3" fillId="0" borderId="22" xfId="0" applyNumberFormat="1" applyFont="1" applyBorder="1"/>
    <xf numFmtId="0" fontId="43" fillId="0" borderId="0" xfId="0" applyFont="1"/>
    <xf numFmtId="41" fontId="3" fillId="8" borderId="26" xfId="0" applyNumberFormat="1" applyFont="1" applyFill="1" applyBorder="1"/>
    <xf numFmtId="41" fontId="3" fillId="8" borderId="8" xfId="0" applyNumberFormat="1" applyFont="1" applyFill="1" applyBorder="1"/>
    <xf numFmtId="41" fontId="3" fillId="8" borderId="9" xfId="0" applyNumberFormat="1" applyFont="1" applyFill="1" applyBorder="1"/>
    <xf numFmtId="41" fontId="3" fillId="8" borderId="10" xfId="0" applyNumberFormat="1" applyFont="1" applyFill="1" applyBorder="1"/>
    <xf numFmtId="41" fontId="3" fillId="8" borderId="31" xfId="0" applyNumberFormat="1" applyFont="1" applyFill="1" applyBorder="1"/>
    <xf numFmtId="10" fontId="3" fillId="10" borderId="23" xfId="0" applyNumberFormat="1" applyFont="1" applyFill="1" applyBorder="1" applyAlignment="1">
      <alignment horizontal="center"/>
    </xf>
    <xf numFmtId="10" fontId="3" fillId="10" borderId="22" xfId="0" applyNumberFormat="1" applyFont="1" applyFill="1" applyBorder="1" applyAlignment="1">
      <alignment horizontal="center"/>
    </xf>
    <xf numFmtId="4" fontId="3" fillId="10" borderId="49" xfId="0" applyNumberFormat="1" applyFont="1" applyFill="1" applyBorder="1" applyAlignment="1">
      <alignment horizontal="right"/>
    </xf>
    <xf numFmtId="2" fontId="3" fillId="10" borderId="49" xfId="0" applyNumberFormat="1" applyFont="1" applyFill="1" applyBorder="1" applyAlignment="1">
      <alignment horizontal="right"/>
    </xf>
    <xf numFmtId="4" fontId="3" fillId="10" borderId="50" xfId="0" applyNumberFormat="1" applyFont="1" applyFill="1" applyBorder="1" applyAlignment="1">
      <alignment horizontal="right"/>
    </xf>
    <xf numFmtId="2" fontId="3" fillId="10" borderId="50" xfId="0" applyNumberFormat="1" applyFont="1" applyFill="1" applyBorder="1" applyAlignment="1">
      <alignment horizontal="right"/>
    </xf>
    <xf numFmtId="4" fontId="3" fillId="10" borderId="51" xfId="0" applyNumberFormat="1" applyFont="1" applyFill="1" applyBorder="1" applyAlignment="1">
      <alignment horizontal="right"/>
    </xf>
    <xf numFmtId="2" fontId="3" fillId="10" borderId="51" xfId="0" applyNumberFormat="1" applyFont="1" applyFill="1" applyBorder="1" applyAlignment="1">
      <alignment horizontal="right"/>
    </xf>
    <xf numFmtId="4" fontId="3" fillId="10" borderId="52" xfId="0" applyNumberFormat="1" applyFont="1" applyFill="1" applyBorder="1" applyAlignment="1">
      <alignment horizontal="right"/>
    </xf>
    <xf numFmtId="2" fontId="3" fillId="10" borderId="52" xfId="0" applyNumberFormat="1" applyFont="1" applyFill="1" applyBorder="1" applyAlignment="1">
      <alignment horizontal="right"/>
    </xf>
    <xf numFmtId="10" fontId="3" fillId="10" borderId="49" xfId="0" applyNumberFormat="1" applyFont="1" applyFill="1" applyBorder="1" applyAlignment="1">
      <alignment horizontal="center"/>
    </xf>
    <xf numFmtId="10" fontId="3" fillId="10" borderId="50" xfId="0" applyNumberFormat="1" applyFont="1" applyFill="1" applyBorder="1" applyAlignment="1">
      <alignment horizontal="center"/>
    </xf>
    <xf numFmtId="10" fontId="3" fillId="10" borderId="52" xfId="0" applyNumberFormat="1" applyFont="1" applyFill="1" applyBorder="1" applyAlignment="1">
      <alignment horizontal="center"/>
    </xf>
    <xf numFmtId="0" fontId="52" fillId="0" borderId="5" xfId="0" applyFont="1" applyBorder="1" applyAlignment="1">
      <alignment horizontal="left"/>
    </xf>
    <xf numFmtId="10" fontId="3" fillId="0" borderId="27" xfId="0" applyNumberFormat="1" applyFont="1" applyBorder="1" applyAlignment="1">
      <alignment horizontal="right"/>
    </xf>
    <xf numFmtId="10" fontId="3" fillId="0" borderId="4" xfId="0" applyNumberFormat="1" applyFont="1" applyBorder="1" applyAlignment="1">
      <alignment horizontal="right"/>
    </xf>
    <xf numFmtId="10" fontId="3" fillId="0" borderId="4" xfId="0" applyNumberFormat="1" applyFont="1" applyFill="1" applyBorder="1" applyAlignment="1">
      <alignment horizontal="right"/>
    </xf>
    <xf numFmtId="10" fontId="3" fillId="0" borderId="0" xfId="0" applyNumberFormat="1" applyFont="1" applyFill="1" applyBorder="1" applyAlignment="1">
      <alignment horizontal="right"/>
    </xf>
    <xf numFmtId="10" fontId="3" fillId="0" borderId="11" xfId="0" applyNumberFormat="1" applyFont="1" applyFill="1" applyBorder="1" applyAlignment="1">
      <alignment horizontal="right"/>
    </xf>
    <xf numFmtId="0" fontId="1" fillId="4" borderId="15" xfId="0" applyFont="1" applyFill="1" applyBorder="1" applyAlignment="1">
      <alignment horizontal="right"/>
    </xf>
    <xf numFmtId="0" fontId="0" fillId="0" borderId="0" xfId="0"/>
    <xf numFmtId="0" fontId="46" fillId="0" borderId="0" xfId="0" applyFont="1"/>
    <xf numFmtId="0" fontId="50" fillId="0" borderId="0" xfId="0" applyFont="1" applyFill="1" applyAlignment="1" applyProtection="1">
      <alignment vertical="top"/>
      <protection locked="0"/>
    </xf>
    <xf numFmtId="41" fontId="3" fillId="9" borderId="0" xfId="0" applyNumberFormat="1" applyFont="1" applyFill="1" applyBorder="1"/>
    <xf numFmtId="0" fontId="54" fillId="0" borderId="0" xfId="0" applyFont="1"/>
    <xf numFmtId="0" fontId="45" fillId="0" borderId="0" xfId="0" applyFont="1"/>
    <xf numFmtId="0" fontId="44" fillId="0" borderId="0" xfId="219" applyAlignment="1" applyProtection="1"/>
    <xf numFmtId="0" fontId="49" fillId="0" borderId="0" xfId="0" applyFont="1"/>
    <xf numFmtId="0" fontId="49" fillId="0" borderId="0" xfId="0" applyFont="1" applyAlignment="1">
      <alignment wrapText="1"/>
    </xf>
    <xf numFmtId="0" fontId="49" fillId="0" borderId="0" xfId="0" applyFont="1" applyAlignment="1">
      <alignment vertical="top" wrapText="1"/>
    </xf>
    <xf numFmtId="0" fontId="46" fillId="0" borderId="0" xfId="0" applyFont="1" applyAlignment="1">
      <alignment vertical="top" wrapText="1"/>
    </xf>
    <xf numFmtId="0" fontId="44" fillId="0" borderId="0" xfId="219" applyAlignment="1" applyProtection="1">
      <alignment vertical="top" wrapText="1"/>
    </xf>
    <xf numFmtId="0" fontId="0" fillId="0" borderId="0" xfId="0" applyAlignment="1">
      <alignment horizontal="left" vertical="top" wrapText="1" indent="1"/>
    </xf>
    <xf numFmtId="0" fontId="46" fillId="0" borderId="0" xfId="0" applyFont="1" applyAlignment="1">
      <alignment horizontal="left" vertical="top" wrapText="1" indent="1"/>
    </xf>
    <xf numFmtId="0" fontId="49" fillId="0" borderId="0" xfId="0" applyFont="1" applyAlignment="1">
      <alignment horizontal="center" wrapText="1"/>
    </xf>
    <xf numFmtId="0" fontId="49" fillId="0" borderId="62" xfId="0" applyFont="1" applyBorder="1" applyAlignment="1">
      <alignment horizontal="center" wrapText="1"/>
    </xf>
    <xf numFmtId="0" fontId="49" fillId="0" borderId="63" xfId="0" applyFont="1" applyBorder="1" applyAlignment="1">
      <alignment horizontal="center" wrapText="1"/>
    </xf>
    <xf numFmtId="0" fontId="49" fillId="0" borderId="53" xfId="0" applyFont="1" applyBorder="1" applyAlignment="1">
      <alignment horizontal="center" vertical="top" wrapText="1"/>
    </xf>
    <xf numFmtId="0" fontId="46" fillId="0" borderId="53" xfId="0" applyFont="1" applyBorder="1" applyAlignment="1">
      <alignment vertical="top" wrapText="1"/>
    </xf>
    <xf numFmtId="0" fontId="46" fillId="0" borderId="53" xfId="0" applyFont="1" applyBorder="1" applyAlignment="1">
      <alignment horizontal="center" vertical="top" wrapText="1"/>
    </xf>
    <xf numFmtId="0" fontId="53" fillId="0" borderId="53" xfId="0" applyFont="1" applyBorder="1" applyAlignment="1">
      <alignment vertical="top" wrapText="1"/>
    </xf>
    <xf numFmtId="0" fontId="49" fillId="0" borderId="0" xfId="0" applyFont="1" applyAlignment="1">
      <alignment horizontal="center" vertical="top" wrapText="1"/>
    </xf>
    <xf numFmtId="0" fontId="49" fillId="0" borderId="62" xfId="0" applyFont="1" applyBorder="1" applyAlignment="1">
      <alignment horizontal="center" vertical="top" wrapText="1"/>
    </xf>
    <xf numFmtId="0" fontId="46" fillId="0" borderId="62" xfId="0" applyFont="1" applyBorder="1" applyAlignment="1">
      <alignment vertical="top" wrapText="1"/>
    </xf>
    <xf numFmtId="0" fontId="46" fillId="0" borderId="62" xfId="0" applyFont="1" applyBorder="1" applyAlignment="1">
      <alignment horizontal="center" vertical="top" wrapText="1"/>
    </xf>
    <xf numFmtId="0" fontId="53" fillId="0" borderId="62" xfId="0" applyFont="1" applyBorder="1" applyAlignment="1">
      <alignment vertical="top" wrapText="1"/>
    </xf>
    <xf numFmtId="0" fontId="49" fillId="0" borderId="53" xfId="0" quotePrefix="1" applyFont="1" applyBorder="1" applyAlignment="1">
      <alignment horizontal="center" vertical="top" wrapText="1"/>
    </xf>
    <xf numFmtId="0" fontId="49" fillId="0" borderId="62" xfId="0" quotePrefix="1" applyFont="1" applyBorder="1" applyAlignment="1">
      <alignment horizontal="center" vertical="top" wrapText="1"/>
    </xf>
    <xf numFmtId="0" fontId="46" fillId="0" borderId="0" xfId="0" applyFont="1" applyAlignment="1">
      <alignment wrapText="1"/>
    </xf>
    <xf numFmtId="0" fontId="49" fillId="0" borderId="0" xfId="0" quotePrefix="1" applyFont="1" applyAlignment="1">
      <alignment horizontal="center" vertical="top" wrapText="1"/>
    </xf>
    <xf numFmtId="0" fontId="53" fillId="0" borderId="0" xfId="0" applyFont="1" applyAlignment="1">
      <alignment horizontal="center" vertical="top" wrapText="1"/>
    </xf>
    <xf numFmtId="41" fontId="1" fillId="4" borderId="13" xfId="0" applyNumberFormat="1" applyFont="1" applyFill="1" applyBorder="1" applyAlignment="1">
      <alignment horizontal="center"/>
    </xf>
    <xf numFmtId="41" fontId="3" fillId="0" borderId="6" xfId="0" applyNumberFormat="1" applyFont="1" applyBorder="1"/>
    <xf numFmtId="41" fontId="3" fillId="0" borderId="11" xfId="0" applyNumberFormat="1" applyFont="1" applyBorder="1"/>
    <xf numFmtId="41" fontId="3" fillId="8" borderId="12" xfId="0" applyNumberFormat="1" applyFont="1" applyFill="1" applyBorder="1"/>
    <xf numFmtId="14" fontId="43" fillId="0" borderId="5" xfId="0" applyNumberFormat="1" applyFont="1" applyBorder="1" applyAlignment="1">
      <alignment wrapText="1"/>
    </xf>
    <xf numFmtId="14" fontId="43" fillId="0" borderId="0" xfId="0" applyNumberFormat="1" applyFont="1" applyBorder="1" applyAlignment="1">
      <alignment wrapText="1"/>
    </xf>
    <xf numFmtId="41" fontId="3" fillId="0" borderId="6" xfId="0" applyNumberFormat="1" applyFont="1" applyFill="1" applyBorder="1"/>
    <xf numFmtId="41" fontId="3" fillId="0" borderId="11" xfId="0" applyNumberFormat="1" applyFont="1" applyFill="1" applyBorder="1"/>
    <xf numFmtId="0" fontId="3" fillId="0" borderId="7" xfId="0" applyNumberFormat="1" applyFont="1" applyFill="1" applyBorder="1"/>
    <xf numFmtId="0" fontId="13" fillId="0" borderId="0" xfId="0" applyFont="1" applyBorder="1"/>
    <xf numFmtId="0" fontId="55" fillId="0" borderId="0" xfId="0" applyFont="1" applyAlignment="1">
      <alignment horizontal="center" vertical="center"/>
    </xf>
    <xf numFmtId="0" fontId="3" fillId="0" borderId="40" xfId="0" applyFont="1" applyBorder="1"/>
    <xf numFmtId="0" fontId="56" fillId="0" borderId="0" xfId="0" applyFont="1" applyAlignment="1">
      <alignment horizontal="left"/>
    </xf>
    <xf numFmtId="0" fontId="1" fillId="4" borderId="12" xfId="0" applyFont="1" applyFill="1" applyBorder="1" applyAlignment="1">
      <alignment horizontal="center"/>
    </xf>
    <xf numFmtId="0" fontId="0" fillId="0" borderId="11" xfId="0" applyBorder="1"/>
    <xf numFmtId="41" fontId="1" fillId="0" borderId="11" xfId="0" applyNumberFormat="1" applyFont="1" applyFill="1" applyBorder="1" applyAlignment="1">
      <alignment horizontal="center"/>
    </xf>
    <xf numFmtId="41" fontId="28" fillId="0" borderId="14" xfId="0" applyNumberFormat="1" applyFont="1" applyBorder="1"/>
    <xf numFmtId="167" fontId="3" fillId="0" borderId="11" xfId="0" applyNumberFormat="1" applyFont="1" applyFill="1" applyBorder="1" applyAlignment="1"/>
    <xf numFmtId="0" fontId="3" fillId="0" borderId="11" xfId="0" applyFont="1" applyFill="1" applyBorder="1" applyAlignment="1"/>
    <xf numFmtId="41" fontId="28" fillId="0" borderId="0" xfId="0" applyNumberFormat="1" applyFont="1" applyBorder="1"/>
    <xf numFmtId="0" fontId="1" fillId="11" borderId="12" xfId="0" applyFont="1" applyFill="1" applyBorder="1"/>
    <xf numFmtId="0" fontId="1" fillId="11" borderId="15" xfId="0" applyFont="1" applyFill="1" applyBorder="1"/>
    <xf numFmtId="0" fontId="1" fillId="11" borderId="15" xfId="0" applyFont="1" applyFill="1" applyBorder="1" applyAlignment="1">
      <alignment horizontal="right"/>
    </xf>
    <xf numFmtId="166" fontId="3" fillId="11" borderId="15" xfId="0" applyNumberFormat="1" applyFont="1" applyFill="1" applyBorder="1" applyAlignment="1">
      <alignment horizontal="center"/>
    </xf>
    <xf numFmtId="41" fontId="3" fillId="11" borderId="10" xfId="0" applyNumberFormat="1" applyFont="1" applyFill="1" applyBorder="1"/>
    <xf numFmtId="41" fontId="3" fillId="11" borderId="14" xfId="0" applyNumberFormat="1" applyFont="1" applyFill="1" applyBorder="1"/>
    <xf numFmtId="0" fontId="9" fillId="0" borderId="6" xfId="0" applyFont="1" applyBorder="1"/>
    <xf numFmtId="41" fontId="3" fillId="0" borderId="5" xfId="0" applyNumberFormat="1" applyFont="1" applyFill="1" applyBorder="1"/>
    <xf numFmtId="41" fontId="3" fillId="0" borderId="0" xfId="0" applyNumberFormat="1" applyFont="1" applyFill="1" applyBorder="1"/>
    <xf numFmtId="0" fontId="1" fillId="11" borderId="15" xfId="0" applyFont="1" applyFill="1" applyBorder="1" applyAlignment="1">
      <alignment horizontal="center"/>
    </xf>
    <xf numFmtId="0" fontId="43" fillId="0" borderId="5" xfId="0" applyFont="1" applyBorder="1" applyAlignment="1">
      <alignment vertical="center" wrapText="1"/>
    </xf>
    <xf numFmtId="0" fontId="43" fillId="0" borderId="0" xfId="0" applyFont="1" applyBorder="1" applyAlignment="1">
      <alignment vertical="center" wrapText="1"/>
    </xf>
    <xf numFmtId="0" fontId="3" fillId="0" borderId="0" xfId="0" applyFont="1"/>
    <xf numFmtId="14" fontId="43" fillId="0" borderId="5" xfId="0" applyNumberFormat="1" applyFont="1" applyBorder="1" applyAlignment="1">
      <alignment vertical="center" wrapText="1"/>
    </xf>
    <xf numFmtId="14" fontId="43" fillId="0" borderId="0" xfId="0" applyNumberFormat="1" applyFont="1" applyBorder="1" applyAlignment="1">
      <alignment vertical="center" wrapText="1"/>
    </xf>
    <xf numFmtId="0" fontId="43" fillId="0" borderId="5" xfId="0" applyFont="1" applyBorder="1" applyAlignment="1">
      <alignment wrapText="1"/>
    </xf>
    <xf numFmtId="0" fontId="43" fillId="0" borderId="0" xfId="0" applyFont="1" applyBorder="1" applyAlignment="1">
      <alignment wrapText="1"/>
    </xf>
    <xf numFmtId="0" fontId="43" fillId="0" borderId="0" xfId="0" applyFont="1" applyBorder="1" applyAlignment="1">
      <alignment vertical="center" wrapText="1"/>
    </xf>
    <xf numFmtId="0" fontId="1" fillId="4" borderId="12" xfId="0" applyFont="1" applyFill="1" applyBorder="1" applyAlignment="1">
      <alignment horizontal="center"/>
    </xf>
    <xf numFmtId="41" fontId="62" fillId="0" borderId="0" xfId="0" applyNumberFormat="1" applyFont="1" applyAlignment="1">
      <alignment horizontal="center"/>
    </xf>
    <xf numFmtId="41" fontId="62" fillId="0" borderId="67" xfId="0" applyNumberFormat="1" applyFont="1" applyBorder="1" applyAlignment="1">
      <alignment horizontal="center"/>
    </xf>
    <xf numFmtId="41" fontId="28" fillId="0" borderId="13" xfId="0" applyNumberFormat="1" applyFont="1" applyBorder="1"/>
    <xf numFmtId="41" fontId="3" fillId="5" borderId="14" xfId="0" applyNumberFormat="1" applyFont="1" applyFill="1" applyBorder="1"/>
    <xf numFmtId="41" fontId="3" fillId="8" borderId="14" xfId="0" applyNumberFormat="1" applyFont="1" applyFill="1" applyBorder="1"/>
    <xf numFmtId="41" fontId="3" fillId="8" borderId="68" xfId="0" applyNumberFormat="1" applyFont="1" applyFill="1" applyBorder="1"/>
    <xf numFmtId="41" fontId="3" fillId="8" borderId="69" xfId="0" applyNumberFormat="1" applyFont="1" applyFill="1" applyBorder="1"/>
    <xf numFmtId="0" fontId="1" fillId="12" borderId="12" xfId="0" applyFont="1" applyFill="1" applyBorder="1" applyAlignment="1">
      <alignment horizontal="left"/>
    </xf>
    <xf numFmtId="0" fontId="1" fillId="12" borderId="15" xfId="0" applyFont="1" applyFill="1" applyBorder="1" applyAlignment="1">
      <alignment horizontal="left"/>
    </xf>
    <xf numFmtId="0" fontId="3" fillId="12" borderId="13" xfId="0" applyFont="1" applyFill="1" applyBorder="1"/>
    <xf numFmtId="0" fontId="1" fillId="13" borderId="12" xfId="0" applyFont="1" applyFill="1" applyBorder="1" applyAlignment="1">
      <alignment horizontal="left"/>
    </xf>
    <xf numFmtId="0" fontId="1" fillId="13" borderId="15" xfId="0" applyFont="1" applyFill="1" applyBorder="1" applyAlignment="1">
      <alignment horizontal="left"/>
    </xf>
    <xf numFmtId="0" fontId="3" fillId="13" borderId="13" xfId="0" applyFont="1" applyFill="1" applyBorder="1"/>
    <xf numFmtId="41" fontId="3" fillId="12" borderId="14" xfId="0" applyNumberFormat="1" applyFont="1" applyFill="1" applyBorder="1"/>
    <xf numFmtId="41" fontId="3" fillId="13" borderId="14" xfId="0" applyNumberFormat="1" applyFont="1" applyFill="1" applyBorder="1"/>
    <xf numFmtId="0" fontId="43" fillId="0" borderId="12" xfId="0" applyFont="1" applyFill="1" applyBorder="1"/>
    <xf numFmtId="0" fontId="43" fillId="0" borderId="15" xfId="0" applyFont="1" applyFill="1" applyBorder="1"/>
    <xf numFmtId="0" fontId="43" fillId="0" borderId="13" xfId="0" applyFont="1" applyFill="1" applyBorder="1"/>
    <xf numFmtId="0" fontId="3" fillId="0" borderId="15" xfId="0" applyFont="1" applyBorder="1"/>
    <xf numFmtId="41" fontId="3" fillId="0" borderId="7" xfId="0" applyNumberFormat="1" applyFont="1" applyFill="1" applyBorder="1"/>
    <xf numFmtId="0" fontId="51" fillId="0" borderId="5" xfId="0" applyFont="1" applyBorder="1" applyAlignment="1" applyProtection="1">
      <protection locked="0"/>
    </xf>
    <xf numFmtId="0" fontId="51" fillId="0" borderId="0" xfId="0" applyFont="1" applyBorder="1" applyAlignment="1" applyProtection="1">
      <protection locked="0"/>
    </xf>
    <xf numFmtId="14" fontId="43" fillId="0" borderId="0" xfId="0" applyNumberFormat="1" applyFont="1" applyBorder="1" applyAlignment="1">
      <alignment vertical="center"/>
    </xf>
    <xf numFmtId="0" fontId="58" fillId="0" borderId="0" xfId="234" applyFont="1"/>
    <xf numFmtId="43" fontId="58" fillId="0" borderId="0" xfId="235" applyFont="1"/>
    <xf numFmtId="0" fontId="58" fillId="0" borderId="0" xfId="234" quotePrefix="1" applyFont="1" applyAlignment="1">
      <alignment horizontal="left"/>
    </xf>
    <xf numFmtId="10" fontId="58" fillId="14" borderId="46" xfId="234" applyNumberFormat="1" applyFont="1" applyFill="1" applyBorder="1" applyProtection="1"/>
    <xf numFmtId="7" fontId="58" fillId="0" borderId="45" xfId="234" applyNumberFormat="1" applyFont="1" applyBorder="1" applyAlignment="1" applyProtection="1">
      <alignment horizontal="left"/>
    </xf>
    <xf numFmtId="10" fontId="58" fillId="14" borderId="46" xfId="235" applyNumberFormat="1" applyFont="1" applyFill="1" applyBorder="1" applyProtection="1"/>
    <xf numFmtId="0" fontId="58" fillId="0" borderId="44" xfId="234" applyFont="1" applyBorder="1"/>
    <xf numFmtId="7" fontId="58" fillId="0" borderId="43" xfId="234" applyNumberFormat="1" applyFont="1" applyBorder="1" applyProtection="1"/>
    <xf numFmtId="43" fontId="58" fillId="0" borderId="44" xfId="235" applyFont="1" applyBorder="1" applyProtection="1"/>
    <xf numFmtId="7" fontId="58" fillId="0" borderId="43" xfId="234" applyNumberFormat="1" applyFont="1" applyBorder="1" applyAlignment="1" applyProtection="1">
      <alignment horizontal="left"/>
    </xf>
    <xf numFmtId="7" fontId="58" fillId="0" borderId="44" xfId="234" applyNumberFormat="1" applyFont="1" applyBorder="1" applyProtection="1"/>
    <xf numFmtId="44" fontId="58" fillId="0" borderId="44" xfId="236" applyFont="1" applyBorder="1" applyProtection="1"/>
    <xf numFmtId="43" fontId="66" fillId="0" borderId="44" xfId="235" applyFont="1" applyFill="1" applyBorder="1" applyProtection="1"/>
    <xf numFmtId="7" fontId="58" fillId="0" borderId="43" xfId="234" applyNumberFormat="1" applyFont="1" applyFill="1" applyBorder="1" applyAlignment="1" applyProtection="1">
      <alignment horizontal="left"/>
    </xf>
    <xf numFmtId="43" fontId="67" fillId="0" borderId="42" xfId="235" applyFont="1" applyFill="1" applyBorder="1" applyProtection="1"/>
    <xf numFmtId="7" fontId="58" fillId="0" borderId="43" xfId="234" quotePrefix="1" applyNumberFormat="1" applyFont="1" applyFill="1" applyBorder="1" applyAlignment="1" applyProtection="1">
      <alignment horizontal="left"/>
    </xf>
    <xf numFmtId="43" fontId="58" fillId="0" borderId="42" xfId="235" applyFont="1" applyFill="1" applyBorder="1" applyProtection="1"/>
    <xf numFmtId="7" fontId="58" fillId="15" borderId="43" xfId="234" applyNumberFormat="1" applyFont="1" applyFill="1" applyBorder="1" applyAlignment="1" applyProtection="1">
      <alignment horizontal="left"/>
    </xf>
    <xf numFmtId="7" fontId="58" fillId="15" borderId="43" xfId="234" applyNumberFormat="1" applyFont="1" applyFill="1" applyBorder="1" applyAlignment="1" applyProtection="1">
      <alignment horizontal="left" vertical="top"/>
    </xf>
    <xf numFmtId="7" fontId="58" fillId="0" borderId="44" xfId="236" applyNumberFormat="1" applyFont="1" applyBorder="1" applyProtection="1"/>
    <xf numFmtId="0" fontId="58" fillId="0" borderId="43" xfId="234" applyFont="1" applyBorder="1" applyAlignment="1" applyProtection="1">
      <alignment horizontal="left"/>
    </xf>
    <xf numFmtId="44" fontId="58" fillId="0" borderId="41" xfId="236" applyFont="1" applyFill="1" applyBorder="1" applyProtection="1"/>
    <xf numFmtId="0" fontId="58" fillId="0" borderId="46" xfId="234" applyFont="1" applyBorder="1" applyAlignment="1" applyProtection="1">
      <alignment horizontal="left"/>
    </xf>
    <xf numFmtId="0" fontId="58" fillId="0" borderId="45" xfId="234" applyFont="1" applyBorder="1" applyAlignment="1" applyProtection="1">
      <alignment horizontal="left"/>
    </xf>
    <xf numFmtId="43" fontId="58" fillId="0" borderId="46" xfId="235" applyFont="1" applyBorder="1" applyAlignment="1" applyProtection="1">
      <alignment horizontal="center"/>
    </xf>
    <xf numFmtId="0" fontId="58" fillId="0" borderId="0" xfId="234" applyFont="1" applyBorder="1" applyAlignment="1" applyProtection="1">
      <alignment horizontal="left"/>
    </xf>
    <xf numFmtId="7" fontId="58" fillId="16" borderId="66" xfId="234" applyNumberFormat="1" applyFont="1" applyFill="1" applyBorder="1" applyAlignment="1" applyProtection="1">
      <alignment horizontal="left"/>
    </xf>
    <xf numFmtId="7" fontId="58" fillId="16" borderId="64" xfId="234" applyNumberFormat="1" applyFont="1" applyFill="1" applyBorder="1" applyAlignment="1" applyProtection="1">
      <alignment horizontal="left"/>
    </xf>
    <xf numFmtId="43" fontId="58" fillId="16" borderId="65" xfId="235" applyFont="1" applyFill="1" applyBorder="1" applyProtection="1"/>
    <xf numFmtId="0" fontId="58" fillId="0" borderId="0" xfId="234" applyFont="1" applyFill="1"/>
    <xf numFmtId="169" fontId="58" fillId="0" borderId="0" xfId="234" applyNumberFormat="1" applyFont="1" applyBorder="1" applyProtection="1"/>
    <xf numFmtId="7" fontId="58" fillId="0" borderId="0" xfId="234" applyNumberFormat="1" applyFont="1" applyBorder="1" applyAlignment="1" applyProtection="1">
      <alignment horizontal="left"/>
    </xf>
    <xf numFmtId="43" fontId="58" fillId="0" borderId="0" xfId="235" applyFont="1" applyBorder="1" applyProtection="1"/>
    <xf numFmtId="10" fontId="58" fillId="14" borderId="38" xfId="235" applyNumberFormat="1" applyFont="1" applyFill="1" applyBorder="1" applyProtection="1"/>
    <xf numFmtId="7" fontId="58" fillId="0" borderId="21" xfId="234" applyNumberFormat="1" applyFont="1" applyBorder="1" applyAlignment="1" applyProtection="1">
      <alignment horizontal="left"/>
    </xf>
    <xf numFmtId="10" fontId="58" fillId="14" borderId="38" xfId="237" applyNumberFormat="1" applyFont="1" applyFill="1" applyBorder="1" applyProtection="1"/>
    <xf numFmtId="7" fontId="58" fillId="0" borderId="21" xfId="237" applyNumberFormat="1" applyFont="1" applyFill="1" applyBorder="1" applyAlignment="1" applyProtection="1">
      <alignment horizontal="left"/>
    </xf>
    <xf numFmtId="7" fontId="58" fillId="0" borderId="42" xfId="234" applyNumberFormat="1" applyFont="1" applyBorder="1" applyProtection="1"/>
    <xf numFmtId="7" fontId="58" fillId="0" borderId="20" xfId="234" applyNumberFormat="1" applyFont="1" applyBorder="1" applyAlignment="1" applyProtection="1">
      <alignment horizontal="left"/>
    </xf>
    <xf numFmtId="44" fontId="58" fillId="0" borderId="42" xfId="236" applyFont="1" applyBorder="1" applyProtection="1"/>
    <xf numFmtId="7" fontId="58" fillId="0" borderId="42" xfId="237" applyNumberFormat="1" applyFont="1" applyBorder="1" applyProtection="1"/>
    <xf numFmtId="7" fontId="58" fillId="0" borderId="20" xfId="237" applyNumberFormat="1" applyFont="1" applyBorder="1" applyAlignment="1" applyProtection="1">
      <alignment horizontal="left"/>
    </xf>
    <xf numFmtId="44" fontId="58" fillId="0" borderId="42" xfId="234" applyNumberFormat="1" applyFont="1" applyBorder="1" applyProtection="1"/>
    <xf numFmtId="44" fontId="58" fillId="0" borderId="42" xfId="236" applyNumberFormat="1" applyFont="1" applyBorder="1" applyProtection="1"/>
    <xf numFmtId="44" fontId="58" fillId="0" borderId="42" xfId="238" applyFont="1" applyBorder="1" applyProtection="1"/>
    <xf numFmtId="43" fontId="66" fillId="0" borderId="42" xfId="235" applyFont="1" applyFill="1" applyBorder="1" applyProtection="1"/>
    <xf numFmtId="7" fontId="58" fillId="0" borderId="20" xfId="234" applyNumberFormat="1" applyFont="1" applyFill="1" applyBorder="1" applyAlignment="1" applyProtection="1">
      <alignment horizontal="left"/>
    </xf>
    <xf numFmtId="43" fontId="67" fillId="0" borderId="42" xfId="239" applyFont="1" applyFill="1" applyBorder="1" applyProtection="1"/>
    <xf numFmtId="7" fontId="58" fillId="0" borderId="20" xfId="237" applyNumberFormat="1" applyFont="1" applyFill="1" applyBorder="1" applyAlignment="1" applyProtection="1">
      <alignment horizontal="left"/>
    </xf>
    <xf numFmtId="7" fontId="58" fillId="0" borderId="20" xfId="234" quotePrefix="1" applyNumberFormat="1" applyFont="1" applyFill="1" applyBorder="1" applyAlignment="1" applyProtection="1">
      <alignment horizontal="left"/>
    </xf>
    <xf numFmtId="43" fontId="58" fillId="0" borderId="42" xfId="239" applyFont="1" applyBorder="1" applyProtection="1"/>
    <xf numFmtId="7" fontId="58" fillId="0" borderId="20" xfId="237" quotePrefix="1" applyNumberFormat="1" applyFont="1" applyFill="1" applyBorder="1" applyAlignment="1" applyProtection="1">
      <alignment horizontal="left"/>
    </xf>
    <xf numFmtId="0" fontId="58" fillId="0" borderId="0" xfId="235" applyNumberFormat="1" applyFont="1"/>
    <xf numFmtId="0" fontId="58" fillId="0" borderId="0" xfId="234" applyFont="1" applyAlignment="1"/>
    <xf numFmtId="10" fontId="58" fillId="14" borderId="38" xfId="235" applyNumberFormat="1" applyFont="1" applyFill="1" applyBorder="1" applyAlignment="1" applyProtection="1"/>
    <xf numFmtId="7" fontId="58" fillId="0" borderId="21" xfId="234" applyNumberFormat="1" applyFont="1" applyFill="1" applyBorder="1" applyAlignment="1" applyProtection="1">
      <alignment horizontal="left"/>
    </xf>
    <xf numFmtId="0" fontId="58" fillId="0" borderId="0" xfId="234" applyFont="1" applyFill="1" applyAlignment="1"/>
    <xf numFmtId="43" fontId="58" fillId="0" borderId="42" xfId="235" applyFont="1" applyFill="1" applyBorder="1" applyAlignment="1" applyProtection="1"/>
    <xf numFmtId="7" fontId="58" fillId="15" borderId="20" xfId="234" applyNumberFormat="1" applyFont="1" applyFill="1" applyBorder="1" applyAlignment="1" applyProtection="1"/>
    <xf numFmtId="43" fontId="58" fillId="0" borderId="42" xfId="235" applyFont="1" applyBorder="1"/>
    <xf numFmtId="7" fontId="58" fillId="0" borderId="20" xfId="234" applyNumberFormat="1" applyFont="1" applyFill="1" applyBorder="1" applyProtection="1"/>
    <xf numFmtId="0" fontId="58" fillId="0" borderId="40" xfId="234" applyFont="1" applyFill="1" applyBorder="1" applyAlignment="1" applyProtection="1">
      <alignment horizontal="left"/>
    </xf>
    <xf numFmtId="43" fontId="66" fillId="0" borderId="42" xfId="235" applyFont="1" applyBorder="1" applyProtection="1"/>
    <xf numFmtId="10" fontId="58" fillId="14" borderId="44" xfId="235" applyNumberFormat="1" applyFont="1" applyFill="1" applyBorder="1" applyProtection="1"/>
    <xf numFmtId="43" fontId="58" fillId="0" borderId="42" xfId="235" applyFont="1" applyBorder="1" applyProtection="1"/>
    <xf numFmtId="7" fontId="58" fillId="0" borderId="42" xfId="234" applyNumberFormat="1" applyFont="1" applyFill="1" applyBorder="1" applyProtection="1"/>
    <xf numFmtId="44" fontId="58" fillId="0" borderId="42" xfId="236" applyFont="1" applyFill="1" applyBorder="1" applyProtection="1"/>
    <xf numFmtId="43" fontId="66" fillId="0" borderId="44" xfId="235" applyFont="1" applyBorder="1" applyProtection="1"/>
    <xf numFmtId="0" fontId="58" fillId="0" borderId="20" xfId="234" applyFont="1" applyFill="1" applyBorder="1" applyAlignment="1" applyProtection="1">
      <alignment horizontal="left"/>
    </xf>
    <xf numFmtId="168" fontId="58" fillId="0" borderId="7" xfId="237" applyFont="1" applyBorder="1"/>
    <xf numFmtId="168" fontId="58" fillId="0" borderId="6" xfId="237" applyFont="1" applyBorder="1"/>
    <xf numFmtId="168" fontId="58" fillId="0" borderId="4" xfId="237" applyFont="1" applyBorder="1"/>
    <xf numFmtId="168" fontId="58" fillId="0" borderId="5" xfId="237" applyFont="1" applyBorder="1"/>
    <xf numFmtId="43" fontId="58" fillId="0" borderId="42" xfId="235" applyFont="1" applyBorder="1" applyAlignment="1" applyProtection="1"/>
    <xf numFmtId="7" fontId="58" fillId="15" borderId="20" xfId="234" applyNumberFormat="1" applyFont="1" applyFill="1" applyBorder="1" applyAlignment="1" applyProtection="1">
      <alignment horizontal="left"/>
    </xf>
    <xf numFmtId="44" fontId="58" fillId="0" borderId="41" xfId="236" applyFont="1" applyBorder="1" applyProtection="1"/>
    <xf numFmtId="169" fontId="58" fillId="0" borderId="3" xfId="237" applyNumberFormat="1" applyFont="1" applyFill="1" applyBorder="1" applyProtection="1"/>
    <xf numFmtId="7" fontId="58" fillId="0" borderId="1" xfId="237" applyNumberFormat="1" applyFont="1" applyFill="1" applyBorder="1" applyAlignment="1" applyProtection="1">
      <alignment horizontal="left"/>
    </xf>
    <xf numFmtId="43" fontId="58" fillId="0" borderId="44" xfId="235" applyFont="1" applyBorder="1"/>
    <xf numFmtId="7" fontId="58" fillId="0" borderId="43" xfId="234" applyNumberFormat="1" applyFont="1" applyFill="1" applyBorder="1" applyProtection="1"/>
    <xf numFmtId="10" fontId="58" fillId="14" borderId="38" xfId="234" applyNumberFormat="1" applyFont="1" applyFill="1" applyBorder="1" applyProtection="1"/>
    <xf numFmtId="10" fontId="58" fillId="0" borderId="44" xfId="234" applyNumberFormat="1" applyFont="1" applyFill="1" applyBorder="1" applyProtection="1"/>
    <xf numFmtId="43" fontId="58" fillId="0" borderId="44" xfId="235" applyFont="1" applyFill="1" applyBorder="1" applyProtection="1"/>
    <xf numFmtId="43" fontId="67" fillId="0" borderId="44" xfId="235" applyFont="1" applyBorder="1" applyProtection="1"/>
    <xf numFmtId="7" fontId="58" fillId="0" borderId="44" xfId="234" applyNumberFormat="1" applyFont="1" applyFill="1" applyBorder="1" applyProtection="1"/>
    <xf numFmtId="7" fontId="58" fillId="0" borderId="44" xfId="236" applyNumberFormat="1" applyFont="1" applyFill="1" applyBorder="1" applyProtection="1"/>
    <xf numFmtId="7" fontId="58" fillId="0" borderId="43" xfId="234" quotePrefix="1" applyNumberFormat="1" applyFont="1" applyBorder="1" applyAlignment="1" applyProtection="1">
      <alignment horizontal="left"/>
    </xf>
    <xf numFmtId="0" fontId="58" fillId="0" borderId="0" xfId="234" applyFont="1" applyAlignment="1">
      <alignment wrapText="1"/>
    </xf>
    <xf numFmtId="43" fontId="58" fillId="0" borderId="44" xfId="235" applyFont="1" applyBorder="1" applyAlignment="1" applyProtection="1">
      <alignment wrapText="1"/>
    </xf>
    <xf numFmtId="7" fontId="58" fillId="15" borderId="43" xfId="234" applyNumberFormat="1" applyFont="1" applyFill="1" applyBorder="1" applyAlignment="1" applyProtection="1">
      <alignment horizontal="left" wrapText="1"/>
    </xf>
    <xf numFmtId="43" fontId="58" fillId="0" borderId="42" xfId="235" applyFont="1" applyBorder="1" applyAlignment="1" applyProtection="1">
      <alignment wrapText="1"/>
    </xf>
    <xf numFmtId="0" fontId="58" fillId="0" borderId="40" xfId="234" applyFont="1" applyBorder="1" applyAlignment="1" applyProtection="1">
      <alignment horizontal="left"/>
    </xf>
    <xf numFmtId="0" fontId="58" fillId="0" borderId="46" xfId="234" applyFont="1" applyBorder="1" applyAlignment="1">
      <alignment horizontal="center"/>
    </xf>
    <xf numFmtId="43" fontId="58" fillId="0" borderId="46" xfId="235" applyFont="1" applyBorder="1" applyAlignment="1">
      <alignment horizontal="center"/>
    </xf>
    <xf numFmtId="0" fontId="58" fillId="0" borderId="44" xfId="234" applyFont="1" applyBorder="1" applyAlignment="1" applyProtection="1">
      <alignment horizontal="center"/>
    </xf>
    <xf numFmtId="7" fontId="58" fillId="0" borderId="0" xfId="234" applyNumberFormat="1" applyFont="1" applyFill="1" applyBorder="1" applyAlignment="1" applyProtection="1">
      <alignment horizontal="left" wrapText="1"/>
    </xf>
    <xf numFmtId="0" fontId="58" fillId="0" borderId="0" xfId="234" applyFont="1" applyAlignment="1">
      <alignment horizontal="center" vertical="top"/>
    </xf>
    <xf numFmtId="0" fontId="58" fillId="0" borderId="0" xfId="234" applyFont="1" applyAlignment="1">
      <alignment horizontal="center"/>
    </xf>
    <xf numFmtId="0" fontId="58" fillId="0" borderId="0" xfId="234" applyFont="1" applyAlignment="1" applyProtection="1">
      <alignment horizontal="center"/>
    </xf>
    <xf numFmtId="7" fontId="58" fillId="17" borderId="41" xfId="234" applyNumberFormat="1" applyFont="1" applyFill="1" applyBorder="1" applyProtection="1"/>
    <xf numFmtId="7" fontId="58" fillId="17" borderId="40" xfId="234" applyNumberFormat="1" applyFont="1" applyFill="1" applyBorder="1" applyAlignment="1" applyProtection="1">
      <alignment horizontal="left"/>
    </xf>
    <xf numFmtId="0" fontId="26" fillId="0" borderId="39" xfId="0" applyFont="1" applyFill="1" applyBorder="1"/>
    <xf numFmtId="0" fontId="26" fillId="0" borderId="39" xfId="0" applyFont="1" applyBorder="1"/>
    <xf numFmtId="0" fontId="27" fillId="0" borderId="39" xfId="0" applyFont="1" applyBorder="1" applyAlignment="1">
      <alignment horizontal="right"/>
    </xf>
    <xf numFmtId="0" fontId="28" fillId="0" borderId="0" xfId="0" applyFont="1"/>
    <xf numFmtId="1" fontId="28" fillId="0" borderId="0" xfId="0" applyNumberFormat="1" applyFont="1"/>
    <xf numFmtId="0" fontId="5" fillId="0" borderId="11" xfId="0" applyFont="1" applyFill="1" applyBorder="1"/>
    <xf numFmtId="0" fontId="5" fillId="0" borderId="11" xfId="0" applyFont="1" applyBorder="1"/>
    <xf numFmtId="0" fontId="29" fillId="0" borderId="11" xfId="0" applyFont="1" applyBorder="1"/>
    <xf numFmtId="0" fontId="30" fillId="0" borderId="11" xfId="0" applyFont="1" applyBorder="1"/>
    <xf numFmtId="0" fontId="28" fillId="0" borderId="11" xfId="0" applyFont="1" applyBorder="1"/>
    <xf numFmtId="0" fontId="28" fillId="0" borderId="47" xfId="0" applyFont="1" applyBorder="1" applyAlignment="1">
      <alignment horizontal="left"/>
    </xf>
    <xf numFmtId="15" fontId="6" fillId="0" borderId="11" xfId="0" applyNumberFormat="1" applyFont="1" applyBorder="1"/>
    <xf numFmtId="0" fontId="2" fillId="0" borderId="0" xfId="0" applyFont="1"/>
    <xf numFmtId="0" fontId="1" fillId="0" borderId="0" xfId="0" applyFont="1"/>
    <xf numFmtId="0" fontId="2" fillId="0" borderId="0" xfId="0" applyFont="1" applyFill="1"/>
    <xf numFmtId="0" fontId="32" fillId="0" borderId="0" xfId="0" applyFont="1"/>
    <xf numFmtId="0" fontId="31" fillId="0" borderId="18" xfId="0" applyFont="1" applyBorder="1" applyAlignment="1">
      <alignment horizontal="right"/>
    </xf>
    <xf numFmtId="0" fontId="31" fillId="0" borderId="18" xfId="0" applyFont="1" applyBorder="1" applyAlignment="1">
      <alignment horizontal="left"/>
    </xf>
    <xf numFmtId="0" fontId="31" fillId="0" borderId="18" xfId="0" applyFont="1" applyBorder="1"/>
    <xf numFmtId="0" fontId="31" fillId="0" borderId="0" xfId="0" applyFont="1" applyBorder="1" applyAlignment="1">
      <alignment horizontal="right"/>
    </xf>
    <xf numFmtId="0" fontId="31" fillId="0" borderId="0" xfId="0" applyFont="1" applyBorder="1" applyAlignment="1">
      <alignment horizontal="left"/>
    </xf>
    <xf numFmtId="0" fontId="28" fillId="0" borderId="0" xfId="0" applyFont="1" applyFill="1" applyBorder="1"/>
    <xf numFmtId="0" fontId="28" fillId="0" borderId="18" xfId="0" applyFont="1" applyBorder="1"/>
    <xf numFmtId="14" fontId="33" fillId="0" borderId="18" xfId="0" applyNumberFormat="1" applyFont="1" applyBorder="1"/>
    <xf numFmtId="0" fontId="10" fillId="0" borderId="48" xfId="0" applyFont="1" applyBorder="1"/>
    <xf numFmtId="0" fontId="31" fillId="0" borderId="48" xfId="0" applyFont="1" applyBorder="1"/>
    <xf numFmtId="14" fontId="7" fillId="0" borderId="18" xfId="0" applyNumberFormat="1" applyFont="1" applyBorder="1"/>
    <xf numFmtId="0" fontId="28" fillId="0" borderId="48" xfId="0" applyFont="1" applyBorder="1"/>
    <xf numFmtId="0" fontId="40" fillId="0" borderId="48" xfId="0" applyFont="1" applyBorder="1"/>
    <xf numFmtId="0" fontId="28" fillId="0" borderId="0" xfId="0" applyFont="1" applyFill="1"/>
    <xf numFmtId="0" fontId="31" fillId="0" borderId="0" xfId="0" applyFont="1" applyBorder="1" applyAlignment="1">
      <alignment horizontal="left" indent="1"/>
    </xf>
    <xf numFmtId="14" fontId="7" fillId="0" borderId="48" xfId="0" applyNumberFormat="1" applyFont="1" applyBorder="1"/>
    <xf numFmtId="14" fontId="7" fillId="0" borderId="0" xfId="0" applyNumberFormat="1" applyFont="1" applyBorder="1"/>
    <xf numFmtId="0" fontId="28" fillId="0" borderId="64" xfId="0" applyFont="1" applyBorder="1"/>
    <xf numFmtId="0" fontId="28" fillId="0" borderId="65" xfId="0" applyFont="1" applyBorder="1"/>
    <xf numFmtId="0" fontId="28" fillId="0" borderId="64" xfId="0" applyFont="1" applyFill="1" applyBorder="1"/>
    <xf numFmtId="0" fontId="28" fillId="0" borderId="48" xfId="0" applyFont="1" applyFill="1" applyBorder="1"/>
    <xf numFmtId="0" fontId="28" fillId="0" borderId="0" xfId="0" applyFont="1" applyFill="1" applyAlignment="1">
      <alignment horizontal="left"/>
    </xf>
    <xf numFmtId="9" fontId="5" fillId="0" borderId="0" xfId="0" applyNumberFormat="1" applyFont="1"/>
    <xf numFmtId="0" fontId="41" fillId="0" borderId="0" xfId="0" applyFont="1" applyAlignment="1">
      <alignment horizontal="left" vertical="center"/>
    </xf>
    <xf numFmtId="1" fontId="28" fillId="0" borderId="20" xfId="0" applyNumberFormat="1" applyFont="1" applyBorder="1"/>
    <xf numFmtId="0" fontId="28" fillId="0" borderId="0" xfId="0" applyFont="1" applyBorder="1"/>
    <xf numFmtId="0" fontId="28" fillId="0" borderId="42" xfId="0" applyFont="1" applyBorder="1"/>
    <xf numFmtId="0" fontId="28" fillId="0" borderId="20" xfId="0" applyFont="1" applyFill="1" applyBorder="1"/>
    <xf numFmtId="1" fontId="28" fillId="0" borderId="21" xfId="0" applyNumberFormat="1" applyFont="1" applyBorder="1"/>
    <xf numFmtId="1" fontId="28" fillId="0" borderId="18" xfId="0" applyNumberFormat="1" applyFont="1" applyBorder="1"/>
    <xf numFmtId="0" fontId="28" fillId="0" borderId="38" xfId="0" applyFont="1" applyBorder="1"/>
    <xf numFmtId="0" fontId="28" fillId="0" borderId="21" xfId="0" applyFont="1" applyFill="1" applyBorder="1"/>
    <xf numFmtId="0" fontId="28" fillId="0" borderId="18" xfId="0" applyFont="1" applyFill="1" applyBorder="1"/>
    <xf numFmtId="0" fontId="31" fillId="0" borderId="0" xfId="0" applyFont="1" applyBorder="1"/>
    <xf numFmtId="49" fontId="28" fillId="0" borderId="0" xfId="0" applyNumberFormat="1" applyFont="1" applyAlignment="1">
      <alignment horizontal="right"/>
    </xf>
    <xf numFmtId="0" fontId="28" fillId="0" borderId="0" xfId="0" applyFont="1" applyFill="1" applyAlignment="1">
      <alignment horizontal="centerContinuous"/>
    </xf>
    <xf numFmtId="0" fontId="28" fillId="0" borderId="0" xfId="0" applyFont="1" applyAlignment="1">
      <alignment horizontal="centerContinuous"/>
    </xf>
    <xf numFmtId="0" fontId="28" fillId="0" borderId="0" xfId="0" applyFont="1" applyAlignment="1">
      <alignment horizontal="center"/>
    </xf>
    <xf numFmtId="0" fontId="14"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2" fillId="0" borderId="1"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3" fillId="0" borderId="1" xfId="0" applyFont="1" applyBorder="1" applyAlignment="1">
      <alignment vertical="center" wrapText="1"/>
    </xf>
    <xf numFmtId="0" fontId="43" fillId="0" borderId="2" xfId="0" applyFont="1" applyBorder="1" applyAlignment="1">
      <alignment vertical="center" wrapText="1"/>
    </xf>
    <xf numFmtId="0" fontId="43" fillId="0" borderId="3" xfId="0" applyFont="1" applyBorder="1" applyAlignment="1">
      <alignment vertical="center" wrapText="1"/>
    </xf>
    <xf numFmtId="0" fontId="43" fillId="0" borderId="5" xfId="0" applyFont="1" applyBorder="1" applyAlignment="1">
      <alignment vertical="center" wrapText="1"/>
    </xf>
    <xf numFmtId="0" fontId="43" fillId="0" borderId="0" xfId="0" applyFont="1" applyBorder="1" applyAlignment="1">
      <alignment vertical="center" wrapText="1"/>
    </xf>
    <xf numFmtId="0" fontId="43" fillId="0" borderId="4" xfId="0" applyFont="1" applyBorder="1" applyAlignment="1">
      <alignment vertical="center" wrapText="1"/>
    </xf>
    <xf numFmtId="0" fontId="43" fillId="0" borderId="6" xfId="0" applyFont="1" applyBorder="1" applyAlignment="1">
      <alignment vertical="center" wrapText="1"/>
    </xf>
    <xf numFmtId="0" fontId="43" fillId="0" borderId="11" xfId="0" applyFont="1" applyBorder="1" applyAlignment="1">
      <alignment vertical="center" wrapText="1"/>
    </xf>
    <xf numFmtId="0" fontId="43" fillId="0" borderId="7" xfId="0" applyFont="1" applyBorder="1" applyAlignment="1">
      <alignment vertical="center" wrapText="1"/>
    </xf>
    <xf numFmtId="14" fontId="43" fillId="0" borderId="1" xfId="0" applyNumberFormat="1" applyFont="1" applyBorder="1" applyAlignment="1">
      <alignment vertical="center" wrapText="1"/>
    </xf>
    <xf numFmtId="14" fontId="43" fillId="0" borderId="2" xfId="0" applyNumberFormat="1" applyFont="1" applyBorder="1" applyAlignment="1">
      <alignment vertical="center" wrapText="1"/>
    </xf>
    <xf numFmtId="14" fontId="43" fillId="0" borderId="3" xfId="0" applyNumberFormat="1" applyFont="1" applyBorder="1" applyAlignment="1">
      <alignment vertical="center" wrapText="1"/>
    </xf>
    <xf numFmtId="14" fontId="43" fillId="0" borderId="6" xfId="0" applyNumberFormat="1" applyFont="1" applyBorder="1" applyAlignment="1">
      <alignment vertical="center" wrapText="1"/>
    </xf>
    <xf numFmtId="14" fontId="43" fillId="0" borderId="11" xfId="0" applyNumberFormat="1" applyFont="1" applyBorder="1" applyAlignment="1">
      <alignment vertical="center" wrapText="1"/>
    </xf>
    <xf numFmtId="14" fontId="43" fillId="0" borderId="7" xfId="0" applyNumberFormat="1" applyFont="1" applyBorder="1" applyAlignment="1">
      <alignment vertical="center" wrapText="1"/>
    </xf>
    <xf numFmtId="0" fontId="43" fillId="0" borderId="1" xfId="0" applyFont="1" applyBorder="1" applyAlignment="1">
      <alignment wrapText="1"/>
    </xf>
    <xf numFmtId="0" fontId="43" fillId="0" borderId="2" xfId="0" applyFont="1" applyBorder="1" applyAlignment="1">
      <alignment wrapText="1"/>
    </xf>
    <xf numFmtId="0" fontId="43" fillId="0" borderId="3" xfId="0" applyFont="1" applyBorder="1" applyAlignment="1">
      <alignment wrapText="1"/>
    </xf>
    <xf numFmtId="0" fontId="43" fillId="0" borderId="5" xfId="0" applyFont="1" applyBorder="1" applyAlignment="1">
      <alignment wrapText="1"/>
    </xf>
    <xf numFmtId="0" fontId="43" fillId="0" borderId="0" xfId="0" applyFont="1" applyBorder="1" applyAlignment="1">
      <alignment wrapText="1"/>
    </xf>
    <xf numFmtId="0" fontId="43" fillId="0" borderId="4" xfId="0" applyFont="1" applyBorder="1" applyAlignment="1">
      <alignment wrapText="1"/>
    </xf>
    <xf numFmtId="0" fontId="43" fillId="0" borderId="6" xfId="0" applyFont="1" applyBorder="1" applyAlignment="1">
      <alignment wrapText="1"/>
    </xf>
    <xf numFmtId="0" fontId="43" fillId="0" borderId="11" xfId="0" applyFont="1" applyBorder="1" applyAlignment="1">
      <alignment wrapText="1"/>
    </xf>
    <xf numFmtId="0" fontId="43" fillId="0" borderId="7" xfId="0" applyFont="1" applyBorder="1" applyAlignment="1">
      <alignment wrapText="1"/>
    </xf>
    <xf numFmtId="0" fontId="1" fillId="4" borderId="12" xfId="0" applyFont="1" applyFill="1" applyBorder="1" applyAlignment="1">
      <alignment horizontal="center"/>
    </xf>
    <xf numFmtId="0" fontId="1" fillId="4" borderId="15" xfId="0" applyFont="1" applyFill="1" applyBorder="1" applyAlignment="1">
      <alignment horizontal="center"/>
    </xf>
    <xf numFmtId="0" fontId="1" fillId="4" borderId="13" xfId="0" applyFont="1" applyFill="1" applyBorder="1" applyAlignment="1">
      <alignment horizontal="center"/>
    </xf>
    <xf numFmtId="0" fontId="5"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51" fillId="0" borderId="5" xfId="0" applyFont="1" applyBorder="1" applyProtection="1">
      <protection locked="0"/>
    </xf>
    <xf numFmtId="0" fontId="51" fillId="0" borderId="0" xfId="0" applyFont="1" applyBorder="1" applyProtection="1">
      <protection locked="0"/>
    </xf>
    <xf numFmtId="0" fontId="59" fillId="0" borderId="67" xfId="0" applyFont="1" applyBorder="1" applyAlignment="1">
      <alignment horizontal="center"/>
    </xf>
    <xf numFmtId="168" fontId="68" fillId="8" borderId="21" xfId="237" applyFont="1" applyFill="1" applyBorder="1" applyAlignment="1">
      <alignment horizontal="center"/>
    </xf>
    <xf numFmtId="168" fontId="68" fillId="8" borderId="38" xfId="237" applyFont="1" applyFill="1" applyBorder="1" applyAlignment="1">
      <alignment horizontal="center"/>
    </xf>
    <xf numFmtId="168" fontId="68" fillId="8" borderId="64" xfId="237" applyFont="1" applyFill="1" applyBorder="1" applyAlignment="1">
      <alignment horizontal="center"/>
    </xf>
    <xf numFmtId="168" fontId="68" fillId="8" borderId="65" xfId="237" applyFont="1" applyFill="1" applyBorder="1" applyAlignment="1">
      <alignment horizontal="center"/>
    </xf>
    <xf numFmtId="7" fontId="58" fillId="17" borderId="21" xfId="234" applyNumberFormat="1" applyFont="1" applyFill="1" applyBorder="1" applyAlignment="1" applyProtection="1">
      <alignment horizontal="left" wrapText="1"/>
    </xf>
    <xf numFmtId="7" fontId="58" fillId="17" borderId="38" xfId="234" applyNumberFormat="1" applyFont="1" applyFill="1" applyBorder="1" applyAlignment="1" applyProtection="1">
      <alignment horizontal="left" wrapText="1"/>
    </xf>
    <xf numFmtId="0" fontId="58" fillId="16" borderId="64" xfId="234" applyFont="1" applyFill="1" applyBorder="1" applyAlignment="1">
      <alignment horizontal="center"/>
    </xf>
    <xf numFmtId="0" fontId="58" fillId="16" borderId="48" xfId="234" applyFont="1" applyFill="1" applyBorder="1" applyAlignment="1">
      <alignment horizontal="center"/>
    </xf>
    <xf numFmtId="0" fontId="58" fillId="16" borderId="65" xfId="234" applyFont="1" applyFill="1" applyBorder="1" applyAlignment="1">
      <alignment horizontal="center"/>
    </xf>
    <xf numFmtId="0" fontId="68" fillId="8" borderId="21" xfId="234" applyFont="1" applyFill="1" applyBorder="1" applyAlignment="1">
      <alignment horizontal="center"/>
    </xf>
    <xf numFmtId="0" fontId="68" fillId="8" borderId="38" xfId="234" applyFont="1" applyFill="1" applyBorder="1" applyAlignment="1">
      <alignment horizontal="center"/>
    </xf>
    <xf numFmtId="0" fontId="20" fillId="6" borderId="18" xfId="9" applyFont="1" applyFill="1" applyBorder="1" applyAlignment="1">
      <alignment horizontal="center"/>
    </xf>
    <xf numFmtId="0" fontId="20" fillId="6" borderId="0" xfId="9" applyFont="1" applyFill="1" applyAlignment="1">
      <alignment horizontal="center"/>
    </xf>
    <xf numFmtId="0" fontId="21" fillId="6" borderId="0" xfId="9" applyFont="1" applyFill="1" applyAlignment="1">
      <alignment horizontal="center"/>
    </xf>
    <xf numFmtId="0" fontId="19" fillId="0" borderId="0" xfId="9" applyFont="1" applyAlignment="1">
      <alignment horizontal="center"/>
    </xf>
    <xf numFmtId="0" fontId="21" fillId="6" borderId="18" xfId="9" applyFont="1" applyFill="1" applyBorder="1" applyAlignment="1">
      <alignment horizontal="center"/>
    </xf>
    <xf numFmtId="0" fontId="22" fillId="0" borderId="18" xfId="9" applyFont="1" applyBorder="1" applyAlignment="1">
      <alignment horizontal="center"/>
    </xf>
    <xf numFmtId="0" fontId="19" fillId="0" borderId="18" xfId="9" applyFont="1" applyBorder="1" applyAlignment="1">
      <alignment horizontal="center"/>
    </xf>
    <xf numFmtId="0" fontId="49" fillId="0" borderId="0" xfId="0" applyFont="1" applyAlignment="1">
      <alignment vertical="top" wrapText="1"/>
    </xf>
    <xf numFmtId="0" fontId="49" fillId="0" borderId="0" xfId="0" quotePrefix="1" applyFont="1" applyAlignment="1">
      <alignment horizontal="center" vertical="top" wrapText="1"/>
    </xf>
    <xf numFmtId="0" fontId="49" fillId="0" borderId="0" xfId="0" applyFont="1" applyAlignment="1">
      <alignment horizontal="center" vertical="top" wrapText="1"/>
    </xf>
    <xf numFmtId="0" fontId="46" fillId="0" borderId="0" xfId="0" applyFont="1" applyAlignment="1">
      <alignment horizontal="left" wrapText="1"/>
    </xf>
    <xf numFmtId="0" fontId="49" fillId="0" borderId="59" xfId="0" applyFont="1" applyBorder="1" applyAlignment="1">
      <alignment horizontal="center" wrapText="1"/>
    </xf>
    <xf numFmtId="0" fontId="49" fillId="0" borderId="60" xfId="0" applyFont="1" applyBorder="1" applyAlignment="1">
      <alignment horizontal="center" wrapText="1"/>
    </xf>
    <xf numFmtId="0" fontId="49" fillId="0" borderId="61" xfId="0" applyFont="1" applyBorder="1" applyAlignment="1">
      <alignment horizontal="center" wrapText="1"/>
    </xf>
    <xf numFmtId="0" fontId="49" fillId="0" borderId="62" xfId="0" applyFont="1" applyBorder="1" applyAlignment="1">
      <alignment wrapText="1"/>
    </xf>
    <xf numFmtId="0" fontId="49" fillId="0" borderId="63" xfId="0" applyFont="1" applyBorder="1" applyAlignment="1">
      <alignment wrapText="1"/>
    </xf>
    <xf numFmtId="0" fontId="49" fillId="0" borderId="62" xfId="0" applyFont="1" applyBorder="1" applyAlignment="1">
      <alignment horizontal="center" wrapText="1"/>
    </xf>
    <xf numFmtId="0" fontId="49" fillId="0" borderId="63" xfId="0" applyFont="1" applyBorder="1" applyAlignment="1">
      <alignment horizontal="center" wrapText="1"/>
    </xf>
    <xf numFmtId="0" fontId="49" fillId="0" borderId="54" xfId="0" applyFont="1" applyBorder="1" applyAlignment="1">
      <alignment horizontal="center" wrapText="1"/>
    </xf>
    <xf numFmtId="0" fontId="49" fillId="0" borderId="55" xfId="0" applyFont="1" applyBorder="1" applyAlignment="1">
      <alignment horizontal="center" wrapText="1"/>
    </xf>
    <xf numFmtId="0" fontId="49" fillId="0" borderId="56" xfId="0" applyFont="1" applyBorder="1" applyAlignment="1">
      <alignment horizontal="center" wrapText="1"/>
    </xf>
    <xf numFmtId="0" fontId="49" fillId="0" borderId="57" xfId="0" applyFont="1" applyBorder="1" applyAlignment="1">
      <alignment horizontal="center" wrapText="1"/>
    </xf>
    <xf numFmtId="0" fontId="49" fillId="0" borderId="0" xfId="0" applyFont="1" applyBorder="1" applyAlignment="1">
      <alignment horizontal="center" wrapText="1"/>
    </xf>
    <xf numFmtId="0" fontId="49" fillId="0" borderId="58" xfId="0" applyFont="1" applyBorder="1" applyAlignment="1">
      <alignment horizontal="center" wrapText="1"/>
    </xf>
  </cellXfs>
  <cellStyles count="240">
    <cellStyle name="Comma 2" xfId="221"/>
    <cellStyle name="Comma 2 2" xfId="223"/>
    <cellStyle name="Comma 2 3" xfId="225"/>
    <cellStyle name="Comma 2 4" xfId="239"/>
    <cellStyle name="Comma 3" xfId="227"/>
    <cellStyle name="Comma 4" xfId="235"/>
    <cellStyle name="Currency 2" xfId="222"/>
    <cellStyle name="Currency 2 2" xfId="224"/>
    <cellStyle name="Currency 2 3" xfId="226"/>
    <cellStyle name="Currency 2 4" xfId="238"/>
    <cellStyle name="Currency 3" xfId="228"/>
    <cellStyle name="Currency 4" xfId="236"/>
    <cellStyle name="Hyperlink" xfId="219" builtinId="8"/>
    <cellStyle name="Hyperlink 2" xfId="229"/>
    <cellStyle name="Normal" xfId="0" builtinId="0"/>
    <cellStyle name="Normal 10 2" xfId="11"/>
    <cellStyle name="Normal 10 2 2" xfId="137"/>
    <cellStyle name="Normal 11 2" xfId="12"/>
    <cellStyle name="Normal 11 2 2" xfId="138"/>
    <cellStyle name="Normal 12 2" xfId="13"/>
    <cellStyle name="Normal 12 2 2" xfId="139"/>
    <cellStyle name="Normal 13 2" xfId="14"/>
    <cellStyle name="Normal 13 2 2" xfId="140"/>
    <cellStyle name="Normal 14 2" xfId="15"/>
    <cellStyle name="Normal 14 2 2" xfId="141"/>
    <cellStyle name="Normal 14 3" xfId="16"/>
    <cellStyle name="Normal 14 3 2" xfId="142"/>
    <cellStyle name="Normal 14 4" xfId="143"/>
    <cellStyle name="Normal 15 2" xfId="17"/>
    <cellStyle name="Normal 15 2 2" xfId="144"/>
    <cellStyle name="Normal 16 2" xfId="18"/>
    <cellStyle name="Normal 16 2 2" xfId="145"/>
    <cellStyle name="Normal 17 2" xfId="19"/>
    <cellStyle name="Normal 17 2 2" xfId="146"/>
    <cellStyle name="Normal 18 2" xfId="20"/>
    <cellStyle name="Normal 18 2 2" xfId="147"/>
    <cellStyle name="Normal 2" xfId="1"/>
    <cellStyle name="Normal 2 10" xfId="21"/>
    <cellStyle name="Normal 2 10 2" xfId="148"/>
    <cellStyle name="Normal 2 11" xfId="22"/>
    <cellStyle name="Normal 2 11 2" xfId="149"/>
    <cellStyle name="Normal 2 12" xfId="23"/>
    <cellStyle name="Normal 2 12 2" xfId="150"/>
    <cellStyle name="Normal 2 13" xfId="24"/>
    <cellStyle name="Normal 2 13 2" xfId="151"/>
    <cellStyle name="Normal 2 14" xfId="25"/>
    <cellStyle name="Normal 2 14 2" xfId="152"/>
    <cellStyle name="Normal 2 15" xfId="26"/>
    <cellStyle name="Normal 2 15 2" xfId="153"/>
    <cellStyle name="Normal 2 16" xfId="27"/>
    <cellStyle name="Normal 2 16 2" xfId="154"/>
    <cellStyle name="Normal 2 17" xfId="28"/>
    <cellStyle name="Normal 2 17 2" xfId="155"/>
    <cellStyle name="Normal 2 18" xfId="29"/>
    <cellStyle name="Normal 2 18 2" xfId="156"/>
    <cellStyle name="Normal 2 19" xfId="237"/>
    <cellStyle name="Normal 2 2" xfId="2"/>
    <cellStyle name="Normal 2 2 10" xfId="30"/>
    <cellStyle name="Normal 2 2 10 2" xfId="157"/>
    <cellStyle name="Normal 2 2 11" xfId="31"/>
    <cellStyle name="Normal 2 2 11 2" xfId="158"/>
    <cellStyle name="Normal 2 2 12" xfId="32"/>
    <cellStyle name="Normal 2 2 12 2" xfId="159"/>
    <cellStyle name="Normal 2 2 13" xfId="33"/>
    <cellStyle name="Normal 2 2 13 2" xfId="160"/>
    <cellStyle name="Normal 2 2 14" xfId="34"/>
    <cellStyle name="Normal 2 2 14 2" xfId="161"/>
    <cellStyle name="Normal 2 2 15" xfId="35"/>
    <cellStyle name="Normal 2 2 15 2" xfId="162"/>
    <cellStyle name="Normal 2 2 16" xfId="36"/>
    <cellStyle name="Normal 2 2 16 2" xfId="163"/>
    <cellStyle name="Normal 2 2 2" xfId="37"/>
    <cellStyle name="Normal 2 2 2 2" xfId="164"/>
    <cellStyle name="Normal 2 2 3" xfId="38"/>
    <cellStyle name="Normal 2 2 3 2" xfId="165"/>
    <cellStyle name="Normal 2 2 4" xfId="39"/>
    <cellStyle name="Normal 2 2 4 2" xfId="166"/>
    <cellStyle name="Normal 2 2 5" xfId="40"/>
    <cellStyle name="Normal 2 2 5 2" xfId="167"/>
    <cellStyle name="Normal 2 2 6" xfId="41"/>
    <cellStyle name="Normal 2 2 6 2" xfId="168"/>
    <cellStyle name="Normal 2 2 7" xfId="42"/>
    <cellStyle name="Normal 2 2 7 2" xfId="169"/>
    <cellStyle name="Normal 2 2 8" xfId="43"/>
    <cellStyle name="Normal 2 2 8 2" xfId="170"/>
    <cellStyle name="Normal 2 2 9" xfId="44"/>
    <cellStyle name="Normal 2 2 9 2" xfId="171"/>
    <cellStyle name="Normal 2 3" xfId="3"/>
    <cellStyle name="Normal 2 3 10" xfId="45"/>
    <cellStyle name="Normal 2 3 10 2" xfId="172"/>
    <cellStyle name="Normal 2 3 11" xfId="46"/>
    <cellStyle name="Normal 2 3 11 2" xfId="173"/>
    <cellStyle name="Normal 2 3 12" xfId="47"/>
    <cellStyle name="Normal 2 3 12 2" xfId="174"/>
    <cellStyle name="Normal 2 3 13" xfId="48"/>
    <cellStyle name="Normal 2 3 13 2" xfId="175"/>
    <cellStyle name="Normal 2 3 14" xfId="49"/>
    <cellStyle name="Normal 2 3 14 2" xfId="176"/>
    <cellStyle name="Normal 2 3 15" xfId="50"/>
    <cellStyle name="Normal 2 3 15 2" xfId="177"/>
    <cellStyle name="Normal 2 3 16" xfId="51"/>
    <cellStyle name="Normal 2 3 16 2" xfId="178"/>
    <cellStyle name="Normal 2 3 2" xfId="52"/>
    <cellStyle name="Normal 2 3 2 2" xfId="179"/>
    <cellStyle name="Normal 2 3 3" xfId="53"/>
    <cellStyle name="Normal 2 3 3 2" xfId="180"/>
    <cellStyle name="Normal 2 3 4" xfId="54"/>
    <cellStyle name="Normal 2 3 4 2" xfId="181"/>
    <cellStyle name="Normal 2 3 5" xfId="55"/>
    <cellStyle name="Normal 2 3 5 2" xfId="182"/>
    <cellStyle name="Normal 2 3 6" xfId="56"/>
    <cellStyle name="Normal 2 3 6 2" xfId="183"/>
    <cellStyle name="Normal 2 3 7" xfId="57"/>
    <cellStyle name="Normal 2 3 7 2" xfId="184"/>
    <cellStyle name="Normal 2 3 8" xfId="58"/>
    <cellStyle name="Normal 2 3 8 2" xfId="185"/>
    <cellStyle name="Normal 2 3 9" xfId="59"/>
    <cellStyle name="Normal 2 3 9 2" xfId="186"/>
    <cellStyle name="Normal 2 4" xfId="8"/>
    <cellStyle name="Normal 2 4 2" xfId="60"/>
    <cellStyle name="Normal 2 4 2 2" xfId="187"/>
    <cellStyle name="Normal 2 4 3" xfId="61"/>
    <cellStyle name="Normal 2 4 3 2" xfId="188"/>
    <cellStyle name="Normal 2 4 4" xfId="134"/>
    <cellStyle name="Normal 2 5" xfId="62"/>
    <cellStyle name="Normal 2 5 2" xfId="189"/>
    <cellStyle name="Normal 2 6" xfId="63"/>
    <cellStyle name="Normal 2 6 2" xfId="190"/>
    <cellStyle name="Normal 2 7" xfId="64"/>
    <cellStyle name="Normal 2 7 2" xfId="191"/>
    <cellStyle name="Normal 2 8" xfId="65"/>
    <cellStyle name="Normal 2 8 2" xfId="192"/>
    <cellStyle name="Normal 2 9" xfId="66"/>
    <cellStyle name="Normal 2 9 2" xfId="193"/>
    <cellStyle name="Normal 21 2" xfId="67"/>
    <cellStyle name="Normal 21 2 2" xfId="194"/>
    <cellStyle name="Normal 21 3" xfId="195"/>
    <cellStyle name="Normal 22" xfId="136"/>
    <cellStyle name="Normal 22 2" xfId="196"/>
    <cellStyle name="Normal 23" xfId="197"/>
    <cellStyle name="Normal 24" xfId="230"/>
    <cellStyle name="Normal 24 2" xfId="231"/>
    <cellStyle name="Normal 25" xfId="232"/>
    <cellStyle name="Normal 25 2" xfId="233"/>
    <cellStyle name="Normal 3" xfId="4"/>
    <cellStyle name="Normal 3 10" xfId="68"/>
    <cellStyle name="Normal 3 11" xfId="69"/>
    <cellStyle name="Normal 3 12" xfId="70"/>
    <cellStyle name="Normal 3 13" xfId="71"/>
    <cellStyle name="Normal 3 14" xfId="72"/>
    <cellStyle name="Normal 3 15" xfId="73"/>
    <cellStyle name="Normal 3 16" xfId="74"/>
    <cellStyle name="Normal 3 17" xfId="75"/>
    <cellStyle name="Normal 3 18" xfId="76"/>
    <cellStyle name="Normal 3 19" xfId="77"/>
    <cellStyle name="Normal 3 19 2" xfId="198"/>
    <cellStyle name="Normal 3 2" xfId="5"/>
    <cellStyle name="Normal 3 2 10" xfId="78"/>
    <cellStyle name="Normal 3 2 11" xfId="79"/>
    <cellStyle name="Normal 3 2 12" xfId="80"/>
    <cellStyle name="Normal 3 2 13" xfId="81"/>
    <cellStyle name="Normal 3 2 14" xfId="82"/>
    <cellStyle name="Normal 3 2 15" xfId="83"/>
    <cellStyle name="Normal 3 2 16" xfId="84"/>
    <cellStyle name="Normal 3 2 2" xfId="85"/>
    <cellStyle name="Normal 3 2 3" xfId="86"/>
    <cellStyle name="Normal 3 2 4" xfId="87"/>
    <cellStyle name="Normal 3 2 5" xfId="88"/>
    <cellStyle name="Normal 3 2 6" xfId="89"/>
    <cellStyle name="Normal 3 2 7" xfId="90"/>
    <cellStyle name="Normal 3 2 8" xfId="91"/>
    <cellStyle name="Normal 3 2 9" xfId="92"/>
    <cellStyle name="Normal 3 3" xfId="6"/>
    <cellStyle name="Normal 3 3 10" xfId="93"/>
    <cellStyle name="Normal 3 3 11" xfId="94"/>
    <cellStyle name="Normal 3 3 12" xfId="95"/>
    <cellStyle name="Normal 3 3 13" xfId="96"/>
    <cellStyle name="Normal 3 3 14" xfId="97"/>
    <cellStyle name="Normal 3 3 15" xfId="98"/>
    <cellStyle name="Normal 3 3 16" xfId="99"/>
    <cellStyle name="Normal 3 3 2" xfId="100"/>
    <cellStyle name="Normal 3 3 3" xfId="101"/>
    <cellStyle name="Normal 3 3 4" xfId="102"/>
    <cellStyle name="Normal 3 3 5" xfId="103"/>
    <cellStyle name="Normal 3 3 6" xfId="104"/>
    <cellStyle name="Normal 3 3 7" xfId="105"/>
    <cellStyle name="Normal 3 3 8" xfId="106"/>
    <cellStyle name="Normal 3 3 9" xfId="107"/>
    <cellStyle name="Normal 3 4" xfId="9"/>
    <cellStyle name="Normal 3 4 2" xfId="108"/>
    <cellStyle name="Normal 3 4 3" xfId="109"/>
    <cellStyle name="Normal 3 4 4" xfId="135"/>
    <cellStyle name="Normal 3 5" xfId="110"/>
    <cellStyle name="Normal 3 6" xfId="111"/>
    <cellStyle name="Normal 3 7" xfId="112"/>
    <cellStyle name="Normal 3 8" xfId="113"/>
    <cellStyle name="Normal 3 9" xfId="114"/>
    <cellStyle name="Normal 4" xfId="10"/>
    <cellStyle name="Normal 5" xfId="234"/>
    <cellStyle name="Normal 6" xfId="7"/>
    <cellStyle name="Normal 6 10" xfId="115"/>
    <cellStyle name="Normal 6 10 2" xfId="199"/>
    <cellStyle name="Normal 6 11" xfId="116"/>
    <cellStyle name="Normal 6 11 2" xfId="200"/>
    <cellStyle name="Normal 6 12" xfId="117"/>
    <cellStyle name="Normal 6 12 2" xfId="201"/>
    <cellStyle name="Normal 6 13" xfId="118"/>
    <cellStyle name="Normal 6 13 2" xfId="202"/>
    <cellStyle name="Normal 6 14" xfId="119"/>
    <cellStyle name="Normal 6 14 2" xfId="203"/>
    <cellStyle name="Normal 6 15" xfId="120"/>
    <cellStyle name="Normal 6 15 2" xfId="204"/>
    <cellStyle name="Normal 6 16" xfId="121"/>
    <cellStyle name="Normal 6 16 2" xfId="205"/>
    <cellStyle name="Normal 6 2" xfId="122"/>
    <cellStyle name="Normal 6 2 2" xfId="206"/>
    <cellStyle name="Normal 6 3" xfId="123"/>
    <cellStyle name="Normal 6 3 2" xfId="207"/>
    <cellStyle name="Normal 6 4" xfId="124"/>
    <cellStyle name="Normal 6 4 2" xfId="208"/>
    <cellStyle name="Normal 6 5" xfId="125"/>
    <cellStyle name="Normal 6 5 2" xfId="209"/>
    <cellStyle name="Normal 6 6" xfId="126"/>
    <cellStyle name="Normal 6 6 2" xfId="210"/>
    <cellStyle name="Normal 6 7" xfId="127"/>
    <cellStyle name="Normal 6 7 2" xfId="211"/>
    <cellStyle name="Normal 6 8" xfId="128"/>
    <cellStyle name="Normal 6 8 2" xfId="212"/>
    <cellStyle name="Normal 6 9" xfId="129"/>
    <cellStyle name="Normal 6 9 2" xfId="213"/>
    <cellStyle name="Normal 7" xfId="220"/>
    <cellStyle name="Normal 7 2" xfId="130"/>
    <cellStyle name="Normal 7 2 2" xfId="214"/>
    <cellStyle name="Normal 7 3" xfId="131"/>
    <cellStyle name="Normal 7 3 2" xfId="215"/>
    <cellStyle name="Normal 7 4" xfId="216"/>
    <cellStyle name="Normal 8 2" xfId="132"/>
    <cellStyle name="Normal 8 2 2" xfId="217"/>
    <cellStyle name="Normal 9 2" xfId="133"/>
    <cellStyle name="Normal 9 2 2" xfId="2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10</xdr:row>
      <xdr:rowOff>38100</xdr:rowOff>
    </xdr:from>
    <xdr:to>
      <xdr:col>0</xdr:col>
      <xdr:colOff>190500</xdr:colOff>
      <xdr:row>11</xdr:row>
      <xdr:rowOff>9525</xdr:rowOff>
    </xdr:to>
    <xdr:pic>
      <xdr:nvPicPr>
        <xdr:cNvPr id="2" name="Picture 1" descr="BD21298_"/>
        <xdr:cNvPicPr>
          <a:picLocks noChangeAspect="1" noChangeArrowheads="1"/>
        </xdr:cNvPicPr>
      </xdr:nvPicPr>
      <xdr:blipFill>
        <a:blip xmlns:r="http://schemas.openxmlformats.org/officeDocument/2006/relationships" r:embed="rId1" cstate="print"/>
        <a:srcRect/>
        <a:stretch>
          <a:fillRect/>
        </a:stretch>
      </xdr:blipFill>
      <xdr:spPr bwMode="auto">
        <a:xfrm>
          <a:off x="66675" y="1562100"/>
          <a:ext cx="123825" cy="123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riej\AppData\Local\Opera\Opera\temporary_downloads\2015BudgetWorkbook_Inte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SU Budget DRAFT FY15"/>
      <sheetName val="CS Budget DRAFT FY15"/>
      <sheetName val=" MOD BUDGET DRAFT"/>
      <sheetName val="PIs, Co-PIs, Other Personnel"/>
      <sheetName val="EBCALC DRAFT"/>
      <sheetName val="EBCALC_FY13"/>
      <sheetName val="EBCALC_FY12 "/>
      <sheetName val="FY15 BEN DRAFT"/>
      <sheetName val="FY12 BEN"/>
      <sheetName val="BEN RATES FY15 DRAFT"/>
      <sheetName val="BEN FY"/>
      <sheetName val="FY11 Benefits Model"/>
      <sheetName val="FY11 Est Bens"/>
      <sheetName val="FY12 Draft Bens"/>
      <sheetName val="Est Bens 12 Draft"/>
      <sheetName val="Person Months Calculator"/>
      <sheetName val="GRA 26-60 Matrices"/>
      <sheetName val="GRA  MBA Matrix"/>
      <sheetName val="COS GRA Matrix"/>
      <sheetName val="DVM GRA Matrix"/>
      <sheetName val="Pharmacy GRA Matrix"/>
      <sheetName val="Nursing GRA Matrices"/>
      <sheetName val="USDA FA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U6">
            <v>3155</v>
          </cell>
        </row>
        <row r="7">
          <cell r="U7">
            <v>2973</v>
          </cell>
        </row>
        <row r="12">
          <cell r="C12">
            <v>40359</v>
          </cell>
          <cell r="D12">
            <v>40374</v>
          </cell>
          <cell r="E12">
            <v>40390</v>
          </cell>
          <cell r="F12">
            <v>40405</v>
          </cell>
          <cell r="G12">
            <v>40421</v>
          </cell>
          <cell r="H12">
            <v>40451</v>
          </cell>
          <cell r="I12">
            <v>40482</v>
          </cell>
          <cell r="J12">
            <v>40512</v>
          </cell>
          <cell r="K12">
            <v>40543</v>
          </cell>
          <cell r="L12">
            <v>40574</v>
          </cell>
          <cell r="M12">
            <v>40602</v>
          </cell>
          <cell r="N12">
            <v>40633</v>
          </cell>
          <cell r="O12">
            <v>40663</v>
          </cell>
          <cell r="P12">
            <v>40678</v>
          </cell>
          <cell r="Q12">
            <v>40694</v>
          </cell>
          <cell r="R12">
            <v>40709</v>
          </cell>
        </row>
        <row r="88">
          <cell r="X88">
            <v>10544</v>
          </cell>
          <cell r="Y88">
            <v>11282</v>
          </cell>
          <cell r="Z88">
            <v>12072</v>
          </cell>
          <cell r="AB88">
            <v>23976</v>
          </cell>
          <cell r="AC88">
            <v>25654</v>
          </cell>
          <cell r="AD88">
            <v>27450</v>
          </cell>
          <cell r="AF88">
            <v>2022</v>
          </cell>
          <cell r="AG88">
            <v>2103</v>
          </cell>
          <cell r="AH88">
            <v>2187</v>
          </cell>
        </row>
        <row r="89">
          <cell r="X89">
            <v>1449</v>
          </cell>
          <cell r="Y89">
            <v>1550.43</v>
          </cell>
          <cell r="AC89">
            <v>1550.43</v>
          </cell>
        </row>
        <row r="99">
          <cell r="B99">
            <v>7.0000000000000007E-2</v>
          </cell>
          <cell r="E99" t="str">
            <v>*Please note the 7% QTR inflation is recommended</v>
          </cell>
        </row>
      </sheetData>
      <sheetData sheetId="18"/>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ublic.wsu.edu/~forms/HTML/BPPM/70_Purchasing/70.09_Expenditure_Objects_and_Subobjects.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public.wsu.edu/~forms/HTML/BPPM/70_Purchasing/70.09_Expenditure_Objects_and_Subobject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public.wsu.edu/~forms/HTML/BPPM/85_Computing_and_Telecommunications/85.33_Accessing_Administrative_Information_Systems.htm" TargetMode="External"/><Relationship Id="rId2" Type="http://schemas.openxmlformats.org/officeDocument/2006/relationships/hyperlink" Target="http://public.wsu.edu/~forms/HTML/BPPM/85_Computing_and_Telecommunications/85.33_Accessing_Administrative_Information_Systems.htm" TargetMode="External"/><Relationship Id="rId1" Type="http://schemas.openxmlformats.org/officeDocument/2006/relationships/hyperlink" Target="http://public.wsu.edu/~forms/PDF/BPPM/70-09.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public.wsu.edu/~forms/HTML/BPPM/70_Purchasing/70.09_Expenditure_Objects_and_Subobject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zoomScale="75" zoomScaleNormal="75" workbookViewId="0">
      <selection activeCell="N13" sqref="N13"/>
    </sheetView>
  </sheetViews>
  <sheetFormatPr defaultColWidth="9.140625" defaultRowHeight="15.75" customHeight="1"/>
  <cols>
    <col min="1" max="1" width="43.7109375" style="36" customWidth="1"/>
    <col min="2" max="2" width="13.28515625" style="36" customWidth="1"/>
    <col min="3" max="3" width="10.140625" style="36" customWidth="1"/>
    <col min="4" max="4" width="13" style="36" customWidth="1"/>
    <col min="5" max="5" width="10.7109375" style="36" customWidth="1"/>
    <col min="6" max="6" width="11.140625" style="41" customWidth="1"/>
    <col min="7" max="7" width="16.28515625" style="40" customWidth="1"/>
    <col min="8" max="8" width="16.28515625" style="130" customWidth="1"/>
    <col min="9" max="12" width="16.28515625" style="40" customWidth="1"/>
    <col min="13" max="13" width="17.28515625" style="36" customWidth="1"/>
    <col min="14" max="14" width="14.5703125" style="36" customWidth="1"/>
    <col min="15" max="16384" width="9.140625" style="36"/>
  </cols>
  <sheetData>
    <row r="1" spans="1:18" s="89" customFormat="1" ht="15.75" customHeight="1">
      <c r="F1" s="90"/>
      <c r="G1" s="91"/>
      <c r="H1" s="91"/>
      <c r="I1" s="91"/>
      <c r="J1" s="91"/>
      <c r="K1" s="91"/>
      <c r="L1" s="297" t="s">
        <v>347</v>
      </c>
      <c r="M1" s="267"/>
      <c r="N1" s="263"/>
      <c r="O1" s="263"/>
      <c r="P1" s="263"/>
      <c r="Q1" s="263"/>
    </row>
    <row r="2" spans="1:18" s="89" customFormat="1" ht="20.25" customHeight="1" thickBot="1">
      <c r="F2" s="90"/>
      <c r="G2"/>
      <c r="H2" s="272"/>
      <c r="I2" s="273"/>
      <c r="J2" s="91"/>
      <c r="K2" s="91"/>
      <c r="L2" s="172"/>
      <c r="M2" s="319"/>
      <c r="N2" s="319"/>
      <c r="O2" s="319"/>
      <c r="P2" s="319"/>
      <c r="Q2" s="319"/>
      <c r="R2" s="319"/>
    </row>
    <row r="3" spans="1:18" s="34" customFormat="1" ht="15.75" customHeight="1" thickBot="1">
      <c r="A3" s="70" t="s">
        <v>187</v>
      </c>
      <c r="B3" s="71"/>
      <c r="C3" s="71"/>
      <c r="D3" s="71"/>
      <c r="E3" s="71"/>
      <c r="F3" s="72"/>
      <c r="G3" s="113" t="s">
        <v>182</v>
      </c>
      <c r="H3" s="113" t="s">
        <v>0</v>
      </c>
      <c r="I3" s="114" t="s">
        <v>1</v>
      </c>
      <c r="J3" s="114" t="s">
        <v>2</v>
      </c>
      <c r="K3" s="114" t="s">
        <v>3</v>
      </c>
      <c r="L3" s="114" t="s">
        <v>13</v>
      </c>
      <c r="M3" s="319"/>
      <c r="N3" s="319"/>
      <c r="O3" s="319"/>
      <c r="P3" s="319"/>
      <c r="Q3" s="319"/>
      <c r="R3" s="319"/>
    </row>
    <row r="4" spans="1:18" s="34" customFormat="1" ht="15.75" customHeight="1" thickBot="1">
      <c r="A4" s="73" t="s">
        <v>335</v>
      </c>
      <c r="B4" s="74"/>
      <c r="C4" s="74"/>
      <c r="D4" s="74"/>
      <c r="E4" s="74"/>
      <c r="F4" s="75"/>
      <c r="G4" s="174"/>
      <c r="H4" s="174"/>
      <c r="I4" s="174"/>
      <c r="J4" s="174"/>
      <c r="K4" s="174"/>
      <c r="L4" s="174"/>
      <c r="M4" s="319"/>
      <c r="N4" s="319"/>
      <c r="O4" s="319"/>
      <c r="P4" s="319"/>
      <c r="Q4" s="319"/>
      <c r="R4" s="319"/>
    </row>
    <row r="5" spans="1:18" s="35" customFormat="1" ht="15.75" customHeight="1" thickBot="1">
      <c r="A5" s="108" t="s">
        <v>40</v>
      </c>
      <c r="B5" s="109" t="s">
        <v>52</v>
      </c>
      <c r="C5" s="109" t="s">
        <v>53</v>
      </c>
      <c r="D5" s="110" t="s">
        <v>38</v>
      </c>
      <c r="E5" s="111"/>
      <c r="F5" s="112"/>
      <c r="G5" s="175"/>
      <c r="H5" s="175"/>
      <c r="I5" s="175"/>
      <c r="J5" s="175"/>
      <c r="K5" s="175"/>
      <c r="L5" s="175"/>
      <c r="M5" s="319"/>
      <c r="N5" s="319"/>
      <c r="O5" s="319"/>
      <c r="P5" s="319"/>
      <c r="Q5" s="319"/>
      <c r="R5" s="319"/>
    </row>
    <row r="6" spans="1:18" ht="15.75" customHeight="1" thickBot="1">
      <c r="A6" s="58" t="s">
        <v>168</v>
      </c>
      <c r="B6" s="199">
        <v>0</v>
      </c>
      <c r="C6" s="82">
        <v>0</v>
      </c>
      <c r="D6" s="84">
        <v>0</v>
      </c>
      <c r="E6" s="88"/>
      <c r="F6" s="76" t="s">
        <v>4</v>
      </c>
      <c r="G6" s="6">
        <f>ROUND((B6*C6*D6),0)</f>
        <v>0</v>
      </c>
      <c r="H6" s="6">
        <f>ROUND((G6*1.04),0)</f>
        <v>0</v>
      </c>
      <c r="I6" s="6">
        <f>ROUND((H6*1.04),0)</f>
        <v>0</v>
      </c>
      <c r="J6" s="6">
        <f t="shared" ref="J6:K6" si="0">ROUND((I6*1.04),0)</f>
        <v>0</v>
      </c>
      <c r="K6" s="6">
        <f t="shared" si="0"/>
        <v>0</v>
      </c>
      <c r="L6" s="7">
        <f t="shared" ref="L6:L27" si="1">SUM(G6:K6)</f>
        <v>0</v>
      </c>
    </row>
    <row r="7" spans="1:18" ht="15.75" customHeight="1">
      <c r="A7" s="58"/>
      <c r="B7" s="63"/>
      <c r="C7" s="64"/>
      <c r="D7" s="85"/>
      <c r="E7" s="86" t="s">
        <v>205</v>
      </c>
      <c r="F7" s="222">
        <v>0.26900000000000002</v>
      </c>
      <c r="G7" s="6">
        <f t="shared" ref="G7:K9" si="2">ROUND(G6*$F7,0)</f>
        <v>0</v>
      </c>
      <c r="H7" s="6">
        <f t="shared" si="2"/>
        <v>0</v>
      </c>
      <c r="I7" s="6">
        <f t="shared" si="2"/>
        <v>0</v>
      </c>
      <c r="J7" s="6">
        <f t="shared" si="2"/>
        <v>0</v>
      </c>
      <c r="K7" s="6">
        <f t="shared" si="2"/>
        <v>0</v>
      </c>
      <c r="L7" s="7">
        <f t="shared" si="1"/>
        <v>0</v>
      </c>
      <c r="M7" s="497" t="s">
        <v>285</v>
      </c>
      <c r="N7" s="498"/>
      <c r="O7" s="498"/>
      <c r="P7" s="498"/>
      <c r="Q7" s="498"/>
      <c r="R7" s="499"/>
    </row>
    <row r="8" spans="1:18" s="290" customFormat="1" ht="15.75" customHeight="1" thickBot="1">
      <c r="A8" s="58" t="s">
        <v>168</v>
      </c>
      <c r="B8" s="200">
        <v>0</v>
      </c>
      <c r="C8" s="65">
        <v>0</v>
      </c>
      <c r="D8" s="85">
        <v>0</v>
      </c>
      <c r="E8" s="87"/>
      <c r="F8" s="77" t="s">
        <v>4</v>
      </c>
      <c r="G8" s="6">
        <f>ROUND((B8*C8*D8),0)</f>
        <v>0</v>
      </c>
      <c r="H8" s="6">
        <f>ROUND((G8*1.04),0)</f>
        <v>0</v>
      </c>
      <c r="I8" s="6">
        <f t="shared" ref="I8:K8" si="3">ROUND((H8*1.04),0)</f>
        <v>0</v>
      </c>
      <c r="J8" s="6">
        <f t="shared" si="3"/>
        <v>0</v>
      </c>
      <c r="K8" s="6">
        <f t="shared" si="3"/>
        <v>0</v>
      </c>
      <c r="L8" s="7">
        <f t="shared" ref="L8:L11" si="4">SUM(G8:K8)</f>
        <v>0</v>
      </c>
      <c r="M8" s="500"/>
      <c r="N8" s="501"/>
      <c r="O8" s="501"/>
      <c r="P8" s="501"/>
      <c r="Q8" s="501"/>
      <c r="R8" s="502"/>
    </row>
    <row r="9" spans="1:18" s="290" customFormat="1" ht="15.75" customHeight="1">
      <c r="A9" s="58"/>
      <c r="B9" s="63"/>
      <c r="C9" s="64"/>
      <c r="D9" s="85"/>
      <c r="E9" s="86" t="s">
        <v>205</v>
      </c>
      <c r="F9" s="222">
        <v>0.26900000000000002</v>
      </c>
      <c r="G9" s="6">
        <f t="shared" si="2"/>
        <v>0</v>
      </c>
      <c r="H9" s="6">
        <f t="shared" si="2"/>
        <v>0</v>
      </c>
      <c r="I9" s="6">
        <f t="shared" si="2"/>
        <v>0</v>
      </c>
      <c r="J9" s="6">
        <f t="shared" si="2"/>
        <v>0</v>
      </c>
      <c r="K9" s="6">
        <f t="shared" si="2"/>
        <v>0</v>
      </c>
      <c r="L9" s="7">
        <f t="shared" si="4"/>
        <v>0</v>
      </c>
      <c r="M9" s="176"/>
      <c r="N9" s="36"/>
      <c r="O9" s="36"/>
      <c r="P9" s="36"/>
      <c r="Q9" s="36"/>
      <c r="R9" s="36"/>
    </row>
    <row r="10" spans="1:18" s="290" customFormat="1" ht="15.75" customHeight="1">
      <c r="A10" s="58" t="s">
        <v>312</v>
      </c>
      <c r="B10" s="200">
        <v>0</v>
      </c>
      <c r="C10" s="65">
        <v>0</v>
      </c>
      <c r="D10" s="85">
        <v>0</v>
      </c>
      <c r="E10" s="87"/>
      <c r="F10" s="77" t="s">
        <v>4</v>
      </c>
      <c r="G10" s="6">
        <f>ROUND((B10*C10*D10),0)</f>
        <v>0</v>
      </c>
      <c r="H10" s="6">
        <f>ROUND((G10*1.04),0)</f>
        <v>0</v>
      </c>
      <c r="I10" s="6">
        <f t="shared" ref="I10:K10" si="5">ROUND((H10*1.04),0)</f>
        <v>0</v>
      </c>
      <c r="J10" s="6">
        <f t="shared" si="5"/>
        <v>0</v>
      </c>
      <c r="K10" s="6">
        <f t="shared" si="5"/>
        <v>0</v>
      </c>
      <c r="L10" s="7">
        <f t="shared" si="4"/>
        <v>0</v>
      </c>
    </row>
    <row r="11" spans="1:18" s="290" customFormat="1" ht="15.75" customHeight="1">
      <c r="A11" s="58"/>
      <c r="B11" s="63"/>
      <c r="C11" s="64"/>
      <c r="D11" s="85"/>
      <c r="E11" s="86" t="s">
        <v>205</v>
      </c>
      <c r="F11" s="222">
        <v>0.26900000000000002</v>
      </c>
      <c r="G11" s="6">
        <f t="shared" ref="G11:K11" si="6">ROUND(G10*$F11,0)</f>
        <v>0</v>
      </c>
      <c r="H11" s="6">
        <f t="shared" si="6"/>
        <v>0</v>
      </c>
      <c r="I11" s="6">
        <f t="shared" si="6"/>
        <v>0</v>
      </c>
      <c r="J11" s="6">
        <f t="shared" si="6"/>
        <v>0</v>
      </c>
      <c r="K11" s="6">
        <f t="shared" si="6"/>
        <v>0</v>
      </c>
      <c r="L11" s="7">
        <f t="shared" si="4"/>
        <v>0</v>
      </c>
      <c r="M11" s="263"/>
      <c r="N11" s="263"/>
      <c r="O11" s="263"/>
      <c r="P11" s="263"/>
      <c r="Q11" s="263"/>
      <c r="R11" s="263"/>
    </row>
    <row r="12" spans="1:18" ht="15.75" customHeight="1">
      <c r="A12" s="58" t="s">
        <v>168</v>
      </c>
      <c r="B12" s="200">
        <v>0</v>
      </c>
      <c r="C12" s="65">
        <v>0</v>
      </c>
      <c r="D12" s="85">
        <v>0</v>
      </c>
      <c r="E12" s="87"/>
      <c r="F12" s="77" t="s">
        <v>4</v>
      </c>
      <c r="G12" s="6">
        <f>ROUND(B12*C12*D12,0)</f>
        <v>0</v>
      </c>
      <c r="H12" s="6">
        <f>ROUND((G12*1.04),0)</f>
        <v>0</v>
      </c>
      <c r="I12" s="130">
        <f>ROUND(H12*1.04,0)</f>
        <v>0</v>
      </c>
      <c r="J12" s="130">
        <f>ROUND(I12*1.04,0)</f>
        <v>0</v>
      </c>
      <c r="K12" s="130">
        <f>ROUND(J12*1.04,0)</f>
        <v>0</v>
      </c>
      <c r="L12" s="7">
        <f t="shared" si="1"/>
        <v>0</v>
      </c>
      <c r="M12" s="263"/>
      <c r="N12" s="263"/>
      <c r="O12" s="263"/>
      <c r="P12" s="263"/>
      <c r="Q12" s="263"/>
      <c r="R12" s="263"/>
    </row>
    <row r="13" spans="1:18" ht="15.75" customHeight="1">
      <c r="A13" s="58"/>
      <c r="B13" s="63"/>
      <c r="C13" s="64"/>
      <c r="D13" s="85"/>
      <c r="E13" s="86" t="s">
        <v>205</v>
      </c>
      <c r="F13" s="222">
        <v>0.26900000000000002</v>
      </c>
      <c r="G13" s="6">
        <f t="shared" ref="G13:K13" si="7">ROUND(G12*$F13,0)</f>
        <v>0</v>
      </c>
      <c r="H13" s="6">
        <f t="shared" si="7"/>
        <v>0</v>
      </c>
      <c r="I13" s="40">
        <f t="shared" si="7"/>
        <v>0</v>
      </c>
      <c r="J13" s="130">
        <f t="shared" ref="J13" si="8">ROUND(J12*$F13,0)</f>
        <v>0</v>
      </c>
      <c r="K13" s="40">
        <f t="shared" si="7"/>
        <v>0</v>
      </c>
      <c r="L13" s="7">
        <f t="shared" si="1"/>
        <v>0</v>
      </c>
      <c r="M13" s="263"/>
      <c r="N13" s="263"/>
      <c r="O13" s="263"/>
      <c r="P13" s="263"/>
      <c r="Q13" s="263"/>
      <c r="R13" s="263"/>
    </row>
    <row r="14" spans="1:18" s="290" customFormat="1" ht="15.75" customHeight="1">
      <c r="A14" s="58" t="s">
        <v>336</v>
      </c>
      <c r="B14" s="200">
        <v>0</v>
      </c>
      <c r="C14" s="65">
        <v>0</v>
      </c>
      <c r="D14" s="85">
        <v>0</v>
      </c>
      <c r="E14" s="87"/>
      <c r="F14" s="77" t="s">
        <v>4</v>
      </c>
      <c r="G14" s="6">
        <f>ROUND(B14*C14*D14,0)</f>
        <v>0</v>
      </c>
      <c r="H14" s="6">
        <f>ROUND((G14*1.04),0)</f>
        <v>0</v>
      </c>
      <c r="I14" s="6">
        <f t="shared" ref="I14:K14" si="9">ROUND((H14*1.04),0)</f>
        <v>0</v>
      </c>
      <c r="J14" s="6">
        <f t="shared" si="9"/>
        <v>0</v>
      </c>
      <c r="K14" s="6">
        <f t="shared" si="9"/>
        <v>0</v>
      </c>
      <c r="L14" s="7">
        <f t="shared" ref="L14:L15" si="10">SUM(G14:K14)</f>
        <v>0</v>
      </c>
      <c r="M14" s="263"/>
      <c r="N14" s="263"/>
      <c r="O14" s="263"/>
      <c r="P14" s="263"/>
      <c r="Q14" s="263"/>
      <c r="R14" s="263"/>
    </row>
    <row r="15" spans="1:18" s="290" customFormat="1" ht="15.75" customHeight="1">
      <c r="A15" s="58"/>
      <c r="B15" s="63"/>
      <c r="C15" s="64"/>
      <c r="D15" s="85"/>
      <c r="E15" s="86" t="s">
        <v>205</v>
      </c>
      <c r="F15" s="222">
        <v>0.29899999999999999</v>
      </c>
      <c r="G15" s="6">
        <f t="shared" ref="G15:K15" si="11">ROUND(G14*$F15,0)</f>
        <v>0</v>
      </c>
      <c r="H15" s="6">
        <f t="shared" si="11"/>
        <v>0</v>
      </c>
      <c r="I15" s="130">
        <f t="shared" si="11"/>
        <v>0</v>
      </c>
      <c r="J15" s="130">
        <f t="shared" si="11"/>
        <v>0</v>
      </c>
      <c r="K15" s="130">
        <f t="shared" si="11"/>
        <v>0</v>
      </c>
      <c r="L15" s="7">
        <f t="shared" si="10"/>
        <v>0</v>
      </c>
      <c r="M15" s="176"/>
    </row>
    <row r="16" spans="1:18" ht="15.75" customHeight="1">
      <c r="A16" s="92" t="s">
        <v>169</v>
      </c>
      <c r="B16" s="200">
        <v>0</v>
      </c>
      <c r="C16" s="65">
        <v>0</v>
      </c>
      <c r="D16" s="85">
        <v>0</v>
      </c>
      <c r="E16" s="87"/>
      <c r="F16" s="77" t="s">
        <v>4</v>
      </c>
      <c r="G16" s="6">
        <f>ROUND(B16*C16*D16,0)</f>
        <v>0</v>
      </c>
      <c r="H16" s="6">
        <f>ROUND((G16*1.04),0)</f>
        <v>0</v>
      </c>
      <c r="I16" s="130">
        <f>ROUND(H16*1.04,0)</f>
        <v>0</v>
      </c>
      <c r="J16" s="130">
        <f>ROUND(I16*1.04,0)</f>
        <v>0</v>
      </c>
      <c r="K16" s="40">
        <f>ROUND(J16*1.04,0)</f>
        <v>0</v>
      </c>
      <c r="L16" s="7">
        <f t="shared" si="1"/>
        <v>0</v>
      </c>
      <c r="M16" s="262"/>
      <c r="N16" s="263"/>
      <c r="O16" s="263"/>
      <c r="P16" s="263"/>
      <c r="Q16" s="263"/>
      <c r="R16" s="263"/>
    </row>
    <row r="17" spans="1:18" ht="15.75" customHeight="1">
      <c r="A17" s="58"/>
      <c r="B17" s="63"/>
      <c r="C17" s="64"/>
      <c r="D17" s="85"/>
      <c r="E17" s="86" t="s">
        <v>205</v>
      </c>
      <c r="F17" s="222">
        <v>0.29899999999999999</v>
      </c>
      <c r="G17" s="6">
        <f t="shared" ref="G17:K17" si="12">ROUND(G16*$F17,0)</f>
        <v>0</v>
      </c>
      <c r="H17" s="6">
        <f t="shared" si="12"/>
        <v>0</v>
      </c>
      <c r="I17" s="40">
        <f t="shared" si="12"/>
        <v>0</v>
      </c>
      <c r="J17" s="130">
        <f t="shared" ref="J17" si="13">ROUND(J16*$F17,0)</f>
        <v>0</v>
      </c>
      <c r="K17" s="40">
        <f t="shared" si="12"/>
        <v>0</v>
      </c>
      <c r="L17" s="7">
        <f t="shared" si="1"/>
        <v>0</v>
      </c>
      <c r="M17" s="262"/>
      <c r="N17" s="263"/>
      <c r="O17" s="263"/>
      <c r="P17" s="263"/>
      <c r="Q17" s="263"/>
      <c r="R17" s="263"/>
    </row>
    <row r="18" spans="1:18" ht="15.75" customHeight="1">
      <c r="A18" s="92" t="s">
        <v>170</v>
      </c>
      <c r="B18" s="200">
        <v>0</v>
      </c>
      <c r="C18" s="65">
        <v>0</v>
      </c>
      <c r="D18" s="85">
        <v>0</v>
      </c>
      <c r="E18" s="87"/>
      <c r="F18" s="77" t="s">
        <v>4</v>
      </c>
      <c r="G18" s="6">
        <f>ROUND(B18*C18*D18,0)</f>
        <v>0</v>
      </c>
      <c r="H18" s="6">
        <f>ROUND((G18*1.04),0)</f>
        <v>0</v>
      </c>
      <c r="I18" s="130">
        <f>ROUND(H18*1.04,0)</f>
        <v>0</v>
      </c>
      <c r="J18" s="130">
        <f>ROUND(I18*1.04,0)</f>
        <v>0</v>
      </c>
      <c r="K18" s="130">
        <f>ROUND(J18*1.04,0)</f>
        <v>0</v>
      </c>
      <c r="L18" s="7">
        <f t="shared" si="1"/>
        <v>0</v>
      </c>
      <c r="M18" s="176"/>
    </row>
    <row r="19" spans="1:18" ht="15.75" customHeight="1" thickBot="1">
      <c r="A19" s="58"/>
      <c r="B19" s="63"/>
      <c r="C19" s="64"/>
      <c r="D19" s="85"/>
      <c r="E19" s="86" t="s">
        <v>205</v>
      </c>
      <c r="F19" s="221">
        <v>0.38800000000000001</v>
      </c>
      <c r="G19" s="6">
        <f t="shared" ref="G19:K19" si="14">ROUND(G18*$F19,0)</f>
        <v>0</v>
      </c>
      <c r="H19" s="6">
        <f t="shared" si="14"/>
        <v>0</v>
      </c>
      <c r="I19" s="40">
        <f t="shared" si="14"/>
        <v>0</v>
      </c>
      <c r="J19" s="130">
        <f t="shared" ref="J19" si="15">ROUND(J18*$F19,0)</f>
        <v>0</v>
      </c>
      <c r="K19" s="40">
        <f t="shared" si="14"/>
        <v>0</v>
      </c>
      <c r="L19" s="13">
        <f t="shared" si="1"/>
        <v>0</v>
      </c>
    </row>
    <row r="20" spans="1:18" ht="15.75" customHeight="1" thickBot="1">
      <c r="A20" s="67" t="s">
        <v>325</v>
      </c>
      <c r="B20" s="209"/>
      <c r="C20" s="210"/>
      <c r="D20" s="207">
        <v>0.5</v>
      </c>
      <c r="E20" s="269"/>
      <c r="F20" s="77" t="s">
        <v>4</v>
      </c>
      <c r="G20" s="20"/>
      <c r="H20" s="14">
        <f>ROUND((G20*1.04),0)</f>
        <v>0</v>
      </c>
      <c r="I20" s="14">
        <f>ROUND(H20*1.04,0)</f>
        <v>0</v>
      </c>
      <c r="J20" s="14">
        <f t="shared" ref="J20:K20" si="16">ROUND(I20*1.04,0)</f>
        <v>0</v>
      </c>
      <c r="K20" s="14">
        <f t="shared" si="16"/>
        <v>0</v>
      </c>
      <c r="L20" s="15">
        <f t="shared" si="1"/>
        <v>0</v>
      </c>
    </row>
    <row r="21" spans="1:18" ht="15.75" customHeight="1">
      <c r="A21" s="220"/>
      <c r="B21" s="211"/>
      <c r="C21" s="212"/>
      <c r="D21" s="217"/>
      <c r="E21" s="29"/>
      <c r="F21" s="79" t="s">
        <v>6</v>
      </c>
      <c r="G21" s="6"/>
      <c r="H21" s="6">
        <f>ROUND((G21*1.07),0)</f>
        <v>0</v>
      </c>
      <c r="I21" s="6">
        <f>ROUND(H21*1.07,0)</f>
        <v>0</v>
      </c>
      <c r="J21" s="6">
        <f>ROUND(I21*1.07,0)</f>
        <v>0</v>
      </c>
      <c r="K21" s="6">
        <f>ROUND(J21*1.07,0)</f>
        <v>0</v>
      </c>
      <c r="L21" s="7">
        <f t="shared" si="1"/>
        <v>0</v>
      </c>
      <c r="M21" s="488" t="s">
        <v>337</v>
      </c>
      <c r="N21" s="489"/>
      <c r="O21" s="489"/>
      <c r="P21" s="489"/>
      <c r="Q21" s="489"/>
      <c r="R21" s="490"/>
    </row>
    <row r="22" spans="1:18" ht="15.75" customHeight="1">
      <c r="A22" s="178"/>
      <c r="B22" s="211"/>
      <c r="C22" s="212"/>
      <c r="D22" s="218"/>
      <c r="E22" s="29"/>
      <c r="F22" s="79" t="s">
        <v>7</v>
      </c>
      <c r="G22" s="6"/>
      <c r="H22" s="6">
        <f>ROUND((G22*1.04),0)</f>
        <v>0</v>
      </c>
      <c r="I22" s="6">
        <f>ROUND(H22*1.04,0)</f>
        <v>0</v>
      </c>
      <c r="J22" s="6">
        <f t="shared" ref="J22:K22" si="17">ROUND(I22*1.04,0)</f>
        <v>0</v>
      </c>
      <c r="K22" s="6">
        <f t="shared" si="17"/>
        <v>0</v>
      </c>
      <c r="L22" s="7">
        <f t="shared" si="1"/>
        <v>0</v>
      </c>
      <c r="M22" s="491"/>
      <c r="N22" s="492"/>
      <c r="O22" s="492"/>
      <c r="P22" s="492"/>
      <c r="Q22" s="492"/>
      <c r="R22" s="493"/>
    </row>
    <row r="23" spans="1:18" ht="15.75" customHeight="1" thickBot="1">
      <c r="A23" s="68"/>
      <c r="B23" s="213"/>
      <c r="C23" s="214"/>
      <c r="D23" s="219"/>
      <c r="E23" s="66"/>
      <c r="F23" s="80">
        <v>1.4999999999999999E-2</v>
      </c>
      <c r="G23" s="6">
        <f>ROUND(SUM(G20*F23),0)</f>
        <v>0</v>
      </c>
      <c r="H23" s="6">
        <f>ROUND(SUM(H20*$F$23),0)</f>
        <v>0</v>
      </c>
      <c r="I23" s="260">
        <f>ROUND(SUM(I20*$F$23),0)</f>
        <v>0</v>
      </c>
      <c r="J23" s="260">
        <f t="shared" ref="J23:K23" si="18">ROUND(SUM(J20*$F$23),0)</f>
        <v>0</v>
      </c>
      <c r="K23" s="260">
        <f t="shared" si="18"/>
        <v>0</v>
      </c>
      <c r="L23" s="7">
        <f t="shared" si="1"/>
        <v>0</v>
      </c>
      <c r="M23" s="494"/>
      <c r="N23" s="495"/>
      <c r="O23" s="495"/>
      <c r="P23" s="495"/>
      <c r="Q23" s="495"/>
      <c r="R23" s="496"/>
    </row>
    <row r="24" spans="1:18" ht="15.75" customHeight="1">
      <c r="A24" s="83" t="s">
        <v>57</v>
      </c>
      <c r="B24" s="209"/>
      <c r="C24" s="210"/>
      <c r="D24" s="208">
        <v>0.5</v>
      </c>
      <c r="E24" s="62"/>
      <c r="F24" s="78" t="s">
        <v>4</v>
      </c>
      <c r="G24" s="20"/>
      <c r="H24" s="14">
        <f>ROUND((G24*1.04),0)</f>
        <v>0</v>
      </c>
      <c r="I24" s="130">
        <f>ROUND(H24*1.04,0)</f>
        <v>0</v>
      </c>
      <c r="J24" s="130">
        <f>ROUND(I24*1.04,0)</f>
        <v>0</v>
      </c>
      <c r="K24" s="14">
        <f>ROUND(J24*1.04,0)</f>
        <v>0</v>
      </c>
      <c r="L24" s="15">
        <f t="shared" si="1"/>
        <v>0</v>
      </c>
    </row>
    <row r="25" spans="1:18" ht="15.75" customHeight="1">
      <c r="A25" s="220" t="s">
        <v>198</v>
      </c>
      <c r="B25" s="211"/>
      <c r="C25" s="212"/>
      <c r="D25" s="217"/>
      <c r="E25" s="29"/>
      <c r="F25" s="79" t="s">
        <v>6</v>
      </c>
      <c r="G25" s="6"/>
      <c r="H25" s="6">
        <f>ROUND((G25*1.07),0)</f>
        <v>0</v>
      </c>
      <c r="I25" s="6">
        <f>ROUND(H25*1.07,0)</f>
        <v>0</v>
      </c>
      <c r="J25" s="6">
        <f>ROUND(I25*1.07,0)</f>
        <v>0</v>
      </c>
      <c r="K25" s="286">
        <f>ROUND(J25*1.07,0)</f>
        <v>0</v>
      </c>
      <c r="L25" s="7">
        <f t="shared" si="1"/>
        <v>0</v>
      </c>
      <c r="M25" s="288"/>
      <c r="N25" s="289"/>
      <c r="O25" s="289"/>
      <c r="P25" s="289"/>
      <c r="Q25" s="289"/>
      <c r="R25" s="289"/>
    </row>
    <row r="26" spans="1:18" ht="15.75" customHeight="1">
      <c r="A26" s="178"/>
      <c r="B26" s="211"/>
      <c r="C26" s="212"/>
      <c r="D26" s="218"/>
      <c r="E26" s="29"/>
      <c r="F26" s="79" t="s">
        <v>7</v>
      </c>
      <c r="G26" s="6"/>
      <c r="H26" s="6">
        <f>ROUND((G26*1.04),0)</f>
        <v>0</v>
      </c>
      <c r="I26" s="130">
        <f>ROUND(H26*1.04,0)</f>
        <v>0</v>
      </c>
      <c r="J26" s="130">
        <f>ROUND(I26*1.04,0)</f>
        <v>0</v>
      </c>
      <c r="K26" s="10">
        <f>ROUND(J26*1.04,0)</f>
        <v>0</v>
      </c>
      <c r="L26" s="7">
        <f t="shared" si="1"/>
        <v>0</v>
      </c>
      <c r="M26" s="288"/>
      <c r="N26" s="289"/>
      <c r="O26" s="289"/>
      <c r="P26" s="289"/>
      <c r="Q26" s="289"/>
      <c r="R26" s="289"/>
    </row>
    <row r="27" spans="1:18" ht="15.75" customHeight="1" thickBot="1">
      <c r="A27" s="12"/>
      <c r="B27" s="215"/>
      <c r="C27" s="216"/>
      <c r="D27" s="219"/>
      <c r="E27" s="49"/>
      <c r="F27" s="81">
        <v>1.4999999999999999E-2</v>
      </c>
      <c r="G27" s="6">
        <f>ROUND(G24*F27,0)</f>
        <v>0</v>
      </c>
      <c r="H27" s="6">
        <f>ROUND(F27*H24,0)</f>
        <v>0</v>
      </c>
      <c r="I27" s="6">
        <f>ROUND(SUM(I24*$F$23),0)</f>
        <v>0</v>
      </c>
      <c r="J27" s="6">
        <f>ROUND(SUM(J24*$F$23),0)</f>
        <v>0</v>
      </c>
      <c r="K27" s="6">
        <f>ROUND(K24*$F$27,0)</f>
        <v>0</v>
      </c>
      <c r="L27" s="7">
        <f t="shared" si="1"/>
        <v>0</v>
      </c>
      <c r="M27" s="288"/>
      <c r="N27" s="289"/>
      <c r="O27" s="289"/>
      <c r="P27" s="289"/>
      <c r="Q27" s="289"/>
      <c r="R27" s="289"/>
    </row>
    <row r="28" spans="1:18" ht="15.75" customHeight="1" thickBot="1">
      <c r="A28" s="115" t="s">
        <v>203</v>
      </c>
      <c r="B28" s="116" t="s">
        <v>54</v>
      </c>
      <c r="C28" s="116" t="s">
        <v>59</v>
      </c>
      <c r="D28" s="117" t="s">
        <v>55</v>
      </c>
      <c r="E28" s="118"/>
      <c r="F28" s="119"/>
      <c r="G28" s="120"/>
      <c r="H28" s="121"/>
      <c r="I28" s="121"/>
      <c r="J28" s="121"/>
      <c r="K28" s="121"/>
      <c r="L28" s="122"/>
      <c r="N28" s="130"/>
    </row>
    <row r="29" spans="1:18" ht="15.75" customHeight="1">
      <c r="A29" s="56" t="s">
        <v>68</v>
      </c>
      <c r="B29" s="95">
        <v>0</v>
      </c>
      <c r="C29" s="60">
        <v>0</v>
      </c>
      <c r="D29" s="60">
        <v>0</v>
      </c>
      <c r="E29" s="50"/>
      <c r="F29" s="69" t="s">
        <v>8</v>
      </c>
      <c r="G29" s="5">
        <f>ROUND((B29*C29*D29),0)</f>
        <v>0</v>
      </c>
      <c r="H29" s="6">
        <f>ROUND((G29*1.04),0)</f>
        <v>0</v>
      </c>
      <c r="I29" s="130">
        <f>ROUND(H29*1.04,0)</f>
        <v>0</v>
      </c>
      <c r="J29" s="130">
        <f>ROUND(I29*1.04,0)</f>
        <v>0</v>
      </c>
      <c r="K29" s="6">
        <f>ROUND(J29*1.04,0)</f>
        <v>0</v>
      </c>
      <c r="L29" s="7">
        <f t="shared" ref="L29:L38" si="19">SUM(G29:K29)</f>
        <v>0</v>
      </c>
    </row>
    <row r="30" spans="1:18" ht="15.75" customHeight="1">
      <c r="A30" s="19"/>
      <c r="B30" s="93"/>
      <c r="C30" s="59"/>
      <c r="D30" s="59"/>
      <c r="E30" s="48" t="s">
        <v>5</v>
      </c>
      <c r="F30" s="223">
        <v>2.1999999999999999E-2</v>
      </c>
      <c r="G30" s="5">
        <f t="shared" ref="G30:K30" si="20">ROUND(G29*$F30,0)</f>
        <v>0</v>
      </c>
      <c r="H30" s="6">
        <f t="shared" si="20"/>
        <v>0</v>
      </c>
      <c r="I30" s="6">
        <f t="shared" si="20"/>
        <v>0</v>
      </c>
      <c r="J30" s="6">
        <f t="shared" ref="J30" si="21">ROUND(J29*$F30,0)</f>
        <v>0</v>
      </c>
      <c r="K30" s="6">
        <f t="shared" si="20"/>
        <v>0</v>
      </c>
      <c r="L30" s="7">
        <f t="shared" si="19"/>
        <v>0</v>
      </c>
    </row>
    <row r="31" spans="1:18" ht="15.75" customHeight="1">
      <c r="A31" s="19" t="s">
        <v>67</v>
      </c>
      <c r="B31" s="93">
        <v>0</v>
      </c>
      <c r="C31" s="59">
        <v>0</v>
      </c>
      <c r="D31" s="59">
        <v>0</v>
      </c>
      <c r="E31" s="47"/>
      <c r="F31" s="54" t="s">
        <v>8</v>
      </c>
      <c r="G31" s="5">
        <f>ROUND(B31*C31*D31,0)</f>
        <v>0</v>
      </c>
      <c r="H31" s="6">
        <f>ROUND((G31*1.04),0)</f>
        <v>0</v>
      </c>
      <c r="I31" s="130">
        <f>ROUND(H31*1.04,0)</f>
        <v>0</v>
      </c>
      <c r="J31" s="130">
        <f>ROUND(I31*1.04,0)</f>
        <v>0</v>
      </c>
      <c r="K31" s="6">
        <f>ROUND(J31*1.04,0)</f>
        <v>0</v>
      </c>
      <c r="L31" s="7">
        <f t="shared" si="19"/>
        <v>0</v>
      </c>
    </row>
    <row r="32" spans="1:18" ht="15.75" customHeight="1">
      <c r="A32" s="19"/>
      <c r="B32" s="93"/>
      <c r="C32" s="59"/>
      <c r="D32" s="59"/>
      <c r="E32" s="48" t="s">
        <v>5</v>
      </c>
      <c r="F32" s="224">
        <v>9.8000000000000004E-2</v>
      </c>
      <c r="G32" s="5">
        <f t="shared" ref="G32:K32" si="22">ROUND(G31*$F32,0)</f>
        <v>0</v>
      </c>
      <c r="H32" s="6">
        <f t="shared" si="22"/>
        <v>0</v>
      </c>
      <c r="I32" s="6">
        <f t="shared" si="22"/>
        <v>0</v>
      </c>
      <c r="J32" s="6">
        <f t="shared" ref="J32" si="23">ROUND(J31*$F32,0)</f>
        <v>0</v>
      </c>
      <c r="K32" s="6">
        <f t="shared" si="22"/>
        <v>0</v>
      </c>
      <c r="L32" s="7">
        <f t="shared" si="19"/>
        <v>0</v>
      </c>
    </row>
    <row r="33" spans="1:18" ht="15.75" customHeight="1" thickBot="1">
      <c r="A33" s="19" t="s">
        <v>184</v>
      </c>
      <c r="B33" s="93">
        <v>0</v>
      </c>
      <c r="C33" s="59">
        <v>0</v>
      </c>
      <c r="D33" s="59">
        <v>0</v>
      </c>
      <c r="E33" s="47"/>
      <c r="F33" s="54" t="s">
        <v>8</v>
      </c>
      <c r="G33" s="5">
        <f>ROUND((B33*C33*D33),0)</f>
        <v>0</v>
      </c>
      <c r="H33" s="6">
        <f>ROUND((G33*1.04),0)</f>
        <v>0</v>
      </c>
      <c r="I33" s="130">
        <f>ROUND(H33*1.04,0)</f>
        <v>0</v>
      </c>
      <c r="J33" s="130">
        <f>ROUND(I33*1.04,0)</f>
        <v>0</v>
      </c>
      <c r="K33" s="6">
        <f>ROUND(J33*1.04,0)</f>
        <v>0</v>
      </c>
      <c r="L33" s="7">
        <f t="shared" si="19"/>
        <v>0</v>
      </c>
    </row>
    <row r="34" spans="1:18" ht="15.75" customHeight="1">
      <c r="A34" s="201" t="s">
        <v>197</v>
      </c>
      <c r="B34" s="93"/>
      <c r="C34" s="59"/>
      <c r="D34" s="59"/>
      <c r="E34" s="48" t="s">
        <v>5</v>
      </c>
      <c r="F34" s="224">
        <v>9.8000000000000004E-2</v>
      </c>
      <c r="G34" s="5">
        <f t="shared" ref="G34:K34" si="24">ROUND(G33*$F34,0)</f>
        <v>0</v>
      </c>
      <c r="H34" s="6">
        <f t="shared" si="24"/>
        <v>0</v>
      </c>
      <c r="I34" s="6">
        <f t="shared" si="24"/>
        <v>0</v>
      </c>
      <c r="J34" s="6">
        <f t="shared" ref="J34" si="25">ROUND(J33*$F34,0)</f>
        <v>0</v>
      </c>
      <c r="K34" s="6">
        <f t="shared" si="24"/>
        <v>0</v>
      </c>
      <c r="L34" s="7">
        <f t="shared" si="19"/>
        <v>0</v>
      </c>
      <c r="M34" s="479" t="s">
        <v>349</v>
      </c>
      <c r="N34" s="480"/>
      <c r="O34" s="480"/>
      <c r="P34" s="480"/>
      <c r="Q34" s="480"/>
      <c r="R34" s="481"/>
    </row>
    <row r="35" spans="1:18" ht="15.75" customHeight="1">
      <c r="A35" s="19" t="s">
        <v>65</v>
      </c>
      <c r="B35" s="93">
        <v>0</v>
      </c>
      <c r="C35" s="59">
        <v>0</v>
      </c>
      <c r="D35" s="59">
        <v>0</v>
      </c>
      <c r="E35" s="47"/>
      <c r="F35" s="55" t="s">
        <v>8</v>
      </c>
      <c r="G35" s="5">
        <f>ROUND((B35*C35*D35),0)</f>
        <v>0</v>
      </c>
      <c r="H35" s="6">
        <f>ROUND((G35*1.04),0)</f>
        <v>0</v>
      </c>
      <c r="I35" s="130">
        <f>ROUND(H35*1.04,0)</f>
        <v>0</v>
      </c>
      <c r="J35" s="130">
        <f>ROUND(I35*1.04,0)</f>
        <v>0</v>
      </c>
      <c r="K35" s="6">
        <f>ROUND(J35*1.04,0)</f>
        <v>0</v>
      </c>
      <c r="L35" s="7">
        <f t="shared" si="19"/>
        <v>0</v>
      </c>
      <c r="M35" s="482"/>
      <c r="N35" s="483"/>
      <c r="O35" s="483"/>
      <c r="P35" s="483"/>
      <c r="Q35" s="483"/>
      <c r="R35" s="484"/>
    </row>
    <row r="36" spans="1:18" ht="15.75" customHeight="1" thickBot="1">
      <c r="A36" s="201" t="s">
        <v>197</v>
      </c>
      <c r="B36" s="93"/>
      <c r="C36" s="59"/>
      <c r="D36" s="59"/>
      <c r="E36" s="48" t="s">
        <v>5</v>
      </c>
      <c r="F36" s="224">
        <v>0.19</v>
      </c>
      <c r="G36" s="5">
        <f t="shared" ref="G36:K36" si="26">ROUND(G35*$F36,0)</f>
        <v>0</v>
      </c>
      <c r="H36" s="6">
        <f t="shared" si="26"/>
        <v>0</v>
      </c>
      <c r="I36" s="6">
        <f t="shared" si="26"/>
        <v>0</v>
      </c>
      <c r="J36" s="6">
        <f t="shared" ref="J36" si="27">ROUND(J35*$F36,0)</f>
        <v>0</v>
      </c>
      <c r="K36" s="6">
        <f t="shared" si="26"/>
        <v>0</v>
      </c>
      <c r="L36" s="7">
        <f t="shared" si="19"/>
        <v>0</v>
      </c>
      <c r="M36" s="485"/>
      <c r="N36" s="486"/>
      <c r="O36" s="486"/>
      <c r="P36" s="486"/>
      <c r="Q36" s="486"/>
      <c r="R36" s="487"/>
    </row>
    <row r="37" spans="1:18" ht="15.75" customHeight="1">
      <c r="A37" s="19" t="s">
        <v>183</v>
      </c>
      <c r="B37" s="93">
        <v>0</v>
      </c>
      <c r="C37" s="59">
        <v>0</v>
      </c>
      <c r="D37" s="59">
        <v>0</v>
      </c>
      <c r="E37" s="48"/>
      <c r="F37" s="54" t="s">
        <v>8</v>
      </c>
      <c r="G37" s="5">
        <f>ROUND((B37*C37*D37),0)</f>
        <v>0</v>
      </c>
      <c r="H37" s="6">
        <f>ROUND((G37*1.04),0)</f>
        <v>0</v>
      </c>
      <c r="I37" s="130">
        <f>ROUND(H37*1.04,0)</f>
        <v>0</v>
      </c>
      <c r="J37" s="130">
        <f>ROUND(I37*1.04,0)</f>
        <v>0</v>
      </c>
      <c r="K37" s="6">
        <f>ROUND(J37*1.04,0)</f>
        <v>0</v>
      </c>
      <c r="L37" s="7">
        <f t="shared" si="19"/>
        <v>0</v>
      </c>
    </row>
    <row r="38" spans="1:18" ht="15.75" customHeight="1" thickBot="1">
      <c r="A38" s="17"/>
      <c r="B38" s="275"/>
      <c r="C38" s="276"/>
      <c r="D38" s="276"/>
      <c r="E38" s="49" t="s">
        <v>5</v>
      </c>
      <c r="F38" s="225">
        <v>0.63200000000000001</v>
      </c>
      <c r="G38" s="259">
        <f t="shared" ref="G38:K38" si="28">ROUND(G37*$F38,0)</f>
        <v>0</v>
      </c>
      <c r="H38" s="6">
        <f t="shared" si="28"/>
        <v>0</v>
      </c>
      <c r="I38" s="6">
        <f t="shared" si="28"/>
        <v>0</v>
      </c>
      <c r="J38" s="6">
        <f t="shared" ref="J38" si="29">ROUND(J37*$F38,0)</f>
        <v>0</v>
      </c>
      <c r="K38" s="6">
        <f t="shared" si="28"/>
        <v>0</v>
      </c>
      <c r="L38" s="13">
        <f t="shared" si="19"/>
        <v>0</v>
      </c>
    </row>
    <row r="39" spans="1:18" ht="15.75" customHeight="1">
      <c r="A39" s="21"/>
      <c r="B39" s="24"/>
      <c r="C39" s="24"/>
      <c r="D39" s="24"/>
      <c r="E39" s="24"/>
      <c r="F39" s="32" t="s">
        <v>25</v>
      </c>
      <c r="G39" s="202">
        <f t="shared" ref="G39:L39" si="30">ROUND(SUM(G6+G8+G10+G12+G14+G16+G18+G20+G24),0)</f>
        <v>0</v>
      </c>
      <c r="H39" s="202">
        <f t="shared" ref="H39" si="31">ROUND(SUM(H6+H8+H10+H12+H14+H16+H18+H20+H24),0)</f>
        <v>0</v>
      </c>
      <c r="I39" s="202">
        <f t="shared" si="30"/>
        <v>0</v>
      </c>
      <c r="J39" s="202">
        <f t="shared" si="30"/>
        <v>0</v>
      </c>
      <c r="K39" s="202">
        <f t="shared" si="30"/>
        <v>0</v>
      </c>
      <c r="L39" s="202">
        <f t="shared" si="30"/>
        <v>0</v>
      </c>
    </row>
    <row r="40" spans="1:18" ht="15.75" customHeight="1">
      <c r="A40" s="21"/>
      <c r="B40" s="24"/>
      <c r="C40" s="24"/>
      <c r="D40" s="24"/>
      <c r="E40" s="24"/>
      <c r="F40" s="32" t="s">
        <v>26</v>
      </c>
      <c r="G40" s="203">
        <f>ROUND(SUM(G29+G31+G33+G35+G37),0)</f>
        <v>0</v>
      </c>
      <c r="H40" s="203">
        <f>ROUND(SUM(H29+H31+H33+H35+H37),0)</f>
        <v>0</v>
      </c>
      <c r="I40" s="203">
        <f>ROUND(SUM(I29++I31+I33+I35+I37),0)</f>
        <v>0</v>
      </c>
      <c r="J40" s="203">
        <f>ROUND(SUM(J29+J31+J33+J35+J37),0)</f>
        <v>0</v>
      </c>
      <c r="K40" s="203">
        <f>ROUND(SUM(K29++K31+K33+K35+K37),0)</f>
        <v>0</v>
      </c>
      <c r="L40" s="203">
        <f>ROUND(SUM(L29+L31+L33+L35+L37),0)</f>
        <v>0</v>
      </c>
    </row>
    <row r="41" spans="1:18" ht="15.75" customHeight="1" thickBot="1">
      <c r="A41" s="37"/>
      <c r="B41" s="45"/>
      <c r="C41" s="45"/>
      <c r="D41" s="45"/>
      <c r="E41" s="45"/>
      <c r="F41" s="33" t="s">
        <v>23</v>
      </c>
      <c r="G41" s="204">
        <f t="shared" ref="G41:L41" si="32">SUM(G39:G40)</f>
        <v>0</v>
      </c>
      <c r="H41" s="204">
        <f t="shared" ref="H41" si="33">SUM(H39:H40)</f>
        <v>0</v>
      </c>
      <c r="I41" s="204">
        <f t="shared" si="32"/>
        <v>0</v>
      </c>
      <c r="J41" s="204">
        <f t="shared" si="32"/>
        <v>0</v>
      </c>
      <c r="K41" s="204">
        <f t="shared" si="32"/>
        <v>0</v>
      </c>
      <c r="L41" s="204">
        <f t="shared" si="32"/>
        <v>0</v>
      </c>
    </row>
    <row r="42" spans="1:18" ht="15.75" customHeight="1" thickBot="1">
      <c r="A42" s="179" t="s">
        <v>46</v>
      </c>
      <c r="B42" s="180"/>
      <c r="C42" s="180"/>
      <c r="D42" s="180"/>
      <c r="E42" s="180"/>
      <c r="F42" s="181"/>
      <c r="G42" s="182"/>
      <c r="H42" s="182"/>
      <c r="I42" s="183"/>
      <c r="J42" s="183"/>
      <c r="K42" s="183"/>
      <c r="L42" s="184"/>
    </row>
    <row r="43" spans="1:18" ht="15.75" customHeight="1" thickBot="1">
      <c r="A43" s="27"/>
      <c r="B43" s="46"/>
      <c r="C43" s="46"/>
      <c r="D43" s="46"/>
      <c r="E43" s="46"/>
      <c r="F43" s="28" t="s">
        <v>35</v>
      </c>
      <c r="G43" s="205">
        <f t="shared" ref="G43:L43" si="34">ROUND(SUM(G7+G9+G11+G13+G15+G17+G19+G21+G22+G23+G25+G26+G27+G30+G32+G34+G36+G38),0)</f>
        <v>0</v>
      </c>
      <c r="H43" s="205">
        <f t="shared" ref="H43" si="35">ROUND(SUM(H7+H9+H11+H13+H15+H17+H19+H21+H22+H23+H25+H26+H27+H30+H32+H34+H36+H38),0)</f>
        <v>0</v>
      </c>
      <c r="I43" s="205">
        <f t="shared" si="34"/>
        <v>0</v>
      </c>
      <c r="J43" s="205">
        <f t="shared" si="34"/>
        <v>0</v>
      </c>
      <c r="K43" s="205">
        <f t="shared" si="34"/>
        <v>0</v>
      </c>
      <c r="L43" s="205">
        <f t="shared" si="34"/>
        <v>0</v>
      </c>
    </row>
    <row r="44" spans="1:18" ht="15.75" customHeight="1" thickBot="1">
      <c r="A44" s="19"/>
      <c r="B44" s="44"/>
      <c r="C44" s="44"/>
      <c r="D44" s="44"/>
      <c r="E44" s="44"/>
      <c r="F44" s="32" t="s">
        <v>34</v>
      </c>
      <c r="G44" s="205">
        <f t="shared" ref="G44:L44" si="36">SUM(G41+G43)</f>
        <v>0</v>
      </c>
      <c r="H44" s="205">
        <f t="shared" ref="H44" si="37">SUM(H41+H43)</f>
        <v>0</v>
      </c>
      <c r="I44" s="205">
        <f t="shared" si="36"/>
        <v>0</v>
      </c>
      <c r="J44" s="205">
        <f t="shared" si="36"/>
        <v>0</v>
      </c>
      <c r="K44" s="205">
        <f t="shared" si="36"/>
        <v>0</v>
      </c>
      <c r="L44" s="205">
        <f t="shared" si="36"/>
        <v>0</v>
      </c>
      <c r="M44" s="39"/>
    </row>
    <row r="45" spans="1:18" s="39" customFormat="1" ht="15.75" customHeight="1" thickBot="1">
      <c r="A45" s="179" t="s">
        <v>202</v>
      </c>
      <c r="B45" s="180"/>
      <c r="C45" s="180"/>
      <c r="D45" s="180"/>
      <c r="E45" s="180"/>
      <c r="F45" s="181"/>
      <c r="G45" s="185"/>
      <c r="H45" s="230"/>
      <c r="I45" s="186"/>
      <c r="J45" s="186"/>
      <c r="K45" s="186"/>
      <c r="L45" s="187"/>
      <c r="M45" s="36"/>
    </row>
    <row r="46" spans="1:18" ht="15.75" customHeight="1">
      <c r="A46" s="23"/>
      <c r="B46" s="38"/>
      <c r="C46" s="38"/>
      <c r="D46" s="38"/>
      <c r="E46" s="38"/>
      <c r="F46" s="30"/>
      <c r="I46" s="6"/>
      <c r="J46" s="6"/>
      <c r="K46" s="6"/>
      <c r="L46" s="7">
        <f>SUM(G46:K46)</f>
        <v>0</v>
      </c>
    </row>
    <row r="47" spans="1:18" ht="15.75" customHeight="1">
      <c r="A47" s="8"/>
      <c r="B47" s="29"/>
      <c r="C47" s="29"/>
      <c r="D47" s="29"/>
      <c r="E47" s="29"/>
      <c r="F47" s="4"/>
      <c r="G47" s="5"/>
      <c r="H47" s="6"/>
      <c r="I47" s="6"/>
      <c r="J47" s="6"/>
      <c r="K47" s="6"/>
      <c r="L47" s="7">
        <f>SUM(G47:K47)</f>
        <v>0</v>
      </c>
    </row>
    <row r="48" spans="1:18" ht="15.75" customHeight="1">
      <c r="A48" s="8"/>
      <c r="B48" s="29"/>
      <c r="C48" s="29"/>
      <c r="D48" s="29"/>
      <c r="E48" s="29"/>
      <c r="F48" s="4"/>
      <c r="G48" s="5"/>
      <c r="H48" s="6"/>
      <c r="I48" s="6"/>
      <c r="J48" s="6"/>
      <c r="K48" s="6"/>
      <c r="L48" s="97">
        <f>SUM(G48:K48)</f>
        <v>0</v>
      </c>
    </row>
    <row r="49" spans="1:18" ht="15.75" customHeight="1" thickBot="1">
      <c r="A49" s="37"/>
      <c r="B49" s="45"/>
      <c r="C49" s="45"/>
      <c r="D49" s="45"/>
      <c r="E49" s="45"/>
      <c r="F49" s="28" t="s">
        <v>24</v>
      </c>
      <c r="G49" s="204">
        <f t="shared" ref="G49:L49" si="38">ROUND(SUM(G46:G48),0)</f>
        <v>0</v>
      </c>
      <c r="H49" s="204">
        <f t="shared" si="38"/>
        <v>0</v>
      </c>
      <c r="I49" s="204">
        <f t="shared" si="38"/>
        <v>0</v>
      </c>
      <c r="J49" s="204">
        <f t="shared" si="38"/>
        <v>0</v>
      </c>
      <c r="K49" s="204">
        <f t="shared" si="38"/>
        <v>0</v>
      </c>
      <c r="L49" s="206">
        <f t="shared" si="38"/>
        <v>0</v>
      </c>
    </row>
    <row r="50" spans="1:18" ht="15.75" customHeight="1" thickBot="1">
      <c r="A50" s="188" t="s">
        <v>201</v>
      </c>
      <c r="B50" s="189"/>
      <c r="C50" s="189"/>
      <c r="D50" s="189"/>
      <c r="E50" s="189"/>
      <c r="F50" s="190"/>
      <c r="G50" s="191"/>
      <c r="H50" s="186"/>
      <c r="I50" s="186"/>
      <c r="J50" s="186"/>
      <c r="K50" s="186"/>
      <c r="L50" s="187"/>
    </row>
    <row r="51" spans="1:18" ht="15.75" customHeight="1">
      <c r="A51" s="8" t="s">
        <v>69</v>
      </c>
      <c r="B51" s="29"/>
      <c r="C51" s="29"/>
      <c r="D51" s="29"/>
      <c r="E51" s="29"/>
      <c r="F51" s="4"/>
      <c r="L51" s="7">
        <f>SUM(G51:K51)</f>
        <v>0</v>
      </c>
      <c r="M51" s="503" t="s">
        <v>284</v>
      </c>
      <c r="N51" s="504"/>
      <c r="O51" s="504"/>
      <c r="P51" s="504"/>
      <c r="Q51" s="504"/>
      <c r="R51" s="505"/>
    </row>
    <row r="52" spans="1:18" ht="15.75" customHeight="1">
      <c r="A52" s="8" t="s">
        <v>70</v>
      </c>
      <c r="B52" s="29"/>
      <c r="C52" s="29"/>
      <c r="D52" s="29"/>
      <c r="E52" s="29"/>
      <c r="F52" s="4"/>
      <c r="G52" s="5"/>
      <c r="H52" s="6"/>
      <c r="I52" s="6"/>
      <c r="J52" s="6"/>
      <c r="K52" s="6"/>
      <c r="L52" s="7">
        <f t="shared" ref="L52:L56" si="39">SUM(G52:K52)</f>
        <v>0</v>
      </c>
      <c r="M52" s="506"/>
      <c r="N52" s="507"/>
      <c r="O52" s="507"/>
      <c r="P52" s="507"/>
      <c r="Q52" s="507"/>
      <c r="R52" s="508"/>
    </row>
    <row r="53" spans="1:18" ht="15.75" customHeight="1">
      <c r="A53" s="8"/>
      <c r="B53" s="29"/>
      <c r="C53" s="29"/>
      <c r="D53" s="29"/>
      <c r="E53" s="29"/>
      <c r="F53" s="4"/>
      <c r="G53" s="5"/>
      <c r="H53" s="6"/>
      <c r="I53" s="6"/>
      <c r="J53" s="6"/>
      <c r="K53" s="6"/>
      <c r="L53" s="7">
        <f t="shared" si="39"/>
        <v>0</v>
      </c>
      <c r="M53" s="506"/>
      <c r="N53" s="507"/>
      <c r="O53" s="507"/>
      <c r="P53" s="507"/>
      <c r="Q53" s="507"/>
      <c r="R53" s="508"/>
    </row>
    <row r="54" spans="1:18" ht="15.75" customHeight="1" thickBot="1">
      <c r="A54" s="8"/>
      <c r="B54" s="29"/>
      <c r="C54" s="29"/>
      <c r="D54" s="29"/>
      <c r="E54" s="29"/>
      <c r="F54" s="4"/>
      <c r="G54" s="5"/>
      <c r="H54" s="6"/>
      <c r="I54" s="6"/>
      <c r="J54" s="6"/>
      <c r="K54" s="6"/>
      <c r="L54" s="7">
        <f t="shared" si="39"/>
        <v>0</v>
      </c>
      <c r="M54" s="509"/>
      <c r="N54" s="510"/>
      <c r="O54" s="510"/>
      <c r="P54" s="510"/>
      <c r="Q54" s="510"/>
      <c r="R54" s="511"/>
    </row>
    <row r="55" spans="1:18" ht="15.75" customHeight="1">
      <c r="A55" s="8"/>
      <c r="B55" s="29"/>
      <c r="C55" s="29"/>
      <c r="D55" s="29"/>
      <c r="E55" s="29"/>
      <c r="F55" s="4"/>
      <c r="G55" s="5"/>
      <c r="H55" s="6"/>
      <c r="I55" s="6"/>
      <c r="J55" s="6"/>
      <c r="K55" s="6"/>
      <c r="L55" s="7">
        <f t="shared" si="39"/>
        <v>0</v>
      </c>
    </row>
    <row r="56" spans="1:18" ht="15.75" customHeight="1">
      <c r="A56" s="8"/>
      <c r="B56" s="29"/>
      <c r="C56" s="29"/>
      <c r="D56" s="29"/>
      <c r="E56" s="29"/>
      <c r="F56" s="4"/>
      <c r="G56" s="5"/>
      <c r="H56" s="6"/>
      <c r="I56" s="6"/>
      <c r="J56" s="6"/>
      <c r="K56" s="6"/>
      <c r="L56" s="7">
        <f t="shared" si="39"/>
        <v>0</v>
      </c>
    </row>
    <row r="57" spans="1:18" ht="15.75" customHeight="1" thickBot="1">
      <c r="A57" s="21"/>
      <c r="B57" s="24"/>
      <c r="C57" s="24"/>
      <c r="D57" s="24"/>
      <c r="E57" s="24"/>
      <c r="F57" s="32" t="s">
        <v>27</v>
      </c>
      <c r="G57" s="204">
        <f t="shared" ref="G57:L57" si="40">ROUND(SUM(G51:G56),0)</f>
        <v>0</v>
      </c>
      <c r="H57" s="204">
        <f t="shared" si="40"/>
        <v>0</v>
      </c>
      <c r="I57" s="204">
        <f t="shared" si="40"/>
        <v>0</v>
      </c>
      <c r="J57" s="204">
        <f t="shared" si="40"/>
        <v>0</v>
      </c>
      <c r="K57" s="204">
        <f t="shared" si="40"/>
        <v>0</v>
      </c>
      <c r="L57" s="204">
        <f t="shared" si="40"/>
        <v>0</v>
      </c>
    </row>
    <row r="58" spans="1:18" ht="15.75" customHeight="1" thickBot="1">
      <c r="A58" s="179" t="s">
        <v>43</v>
      </c>
      <c r="B58" s="180"/>
      <c r="C58" s="180"/>
      <c r="D58" s="180"/>
      <c r="E58" s="180"/>
      <c r="F58" s="181"/>
      <c r="G58" s="191"/>
      <c r="H58" s="186"/>
      <c r="I58" s="186"/>
      <c r="J58" s="186"/>
      <c r="K58" s="186"/>
      <c r="L58" s="187"/>
    </row>
    <row r="59" spans="1:18" ht="15.75" customHeight="1">
      <c r="A59" s="8" t="s">
        <v>185</v>
      </c>
      <c r="B59" s="29"/>
      <c r="C59" s="29"/>
      <c r="D59" s="29"/>
      <c r="E59" s="29"/>
      <c r="F59" s="4"/>
      <c r="G59" s="5"/>
      <c r="H59" s="6"/>
      <c r="I59" s="6"/>
      <c r="J59" s="6"/>
      <c r="K59" s="6"/>
      <c r="L59" s="7">
        <f>SUM(G59:K59)</f>
        <v>0</v>
      </c>
    </row>
    <row r="60" spans="1:18" ht="15.75" customHeight="1">
      <c r="A60" s="8" t="s">
        <v>186</v>
      </c>
      <c r="B60" s="29"/>
      <c r="C60" s="29"/>
      <c r="D60" s="29"/>
      <c r="E60" s="29"/>
      <c r="F60" s="4"/>
      <c r="G60" s="5"/>
      <c r="H60" s="6"/>
      <c r="I60" s="6"/>
      <c r="J60" s="6"/>
      <c r="K60" s="6"/>
      <c r="L60" s="7">
        <f>SUM(G60:K60)</f>
        <v>0</v>
      </c>
    </row>
    <row r="61" spans="1:18" ht="15.75" customHeight="1" thickBot="1">
      <c r="A61" s="19"/>
      <c r="B61" s="44"/>
      <c r="C61" s="44"/>
      <c r="D61" s="44"/>
      <c r="E61" s="44"/>
      <c r="F61" s="32" t="s">
        <v>28</v>
      </c>
      <c r="G61" s="204">
        <f t="shared" ref="G61:L61" si="41">SUM(G59:G60)</f>
        <v>0</v>
      </c>
      <c r="H61" s="204">
        <f t="shared" si="41"/>
        <v>0</v>
      </c>
      <c r="I61" s="204">
        <f t="shared" si="41"/>
        <v>0</v>
      </c>
      <c r="J61" s="204">
        <f t="shared" si="41"/>
        <v>0</v>
      </c>
      <c r="K61" s="204">
        <f t="shared" si="41"/>
        <v>0</v>
      </c>
      <c r="L61" s="204">
        <f t="shared" si="41"/>
        <v>0</v>
      </c>
    </row>
    <row r="62" spans="1:18" ht="15.75" customHeight="1" thickBot="1">
      <c r="A62" s="179" t="s">
        <v>193</v>
      </c>
      <c r="B62" s="180"/>
      <c r="C62" s="180"/>
      <c r="D62" s="180"/>
      <c r="E62" s="180"/>
      <c r="F62" s="181"/>
      <c r="G62" s="191"/>
      <c r="H62" s="186"/>
      <c r="I62" s="186"/>
      <c r="J62" s="186"/>
      <c r="K62" s="186"/>
      <c r="L62" s="187"/>
    </row>
    <row r="63" spans="1:18" ht="15.75" customHeight="1">
      <c r="A63" s="8"/>
      <c r="B63" s="29"/>
      <c r="C63" s="29"/>
      <c r="D63" s="29"/>
      <c r="E63" s="29"/>
      <c r="F63" s="4"/>
      <c r="G63" s="130"/>
      <c r="I63" s="6"/>
      <c r="J63" s="6"/>
      <c r="K63" s="6"/>
      <c r="L63" s="7">
        <f>SUM(G63:K63)</f>
        <v>0</v>
      </c>
    </row>
    <row r="64" spans="1:18" ht="15.75" customHeight="1">
      <c r="A64" s="8"/>
      <c r="B64" s="29"/>
      <c r="C64" s="29"/>
      <c r="D64" s="29"/>
      <c r="E64" s="29"/>
      <c r="F64" s="4"/>
      <c r="G64" s="5"/>
      <c r="H64" s="6"/>
      <c r="I64" s="6"/>
      <c r="J64" s="6"/>
      <c r="K64" s="6"/>
      <c r="L64" s="7">
        <f>SUM(G64:K64)</f>
        <v>0</v>
      </c>
    </row>
    <row r="65" spans="1:13" ht="15.75" customHeight="1">
      <c r="A65" s="8"/>
      <c r="B65" s="29"/>
      <c r="C65" s="29"/>
      <c r="D65" s="29"/>
      <c r="E65" s="29"/>
      <c r="F65" s="4"/>
      <c r="G65" s="5"/>
      <c r="H65" s="6"/>
      <c r="I65" s="6"/>
      <c r="J65" s="6"/>
      <c r="K65" s="6"/>
      <c r="L65" s="7">
        <f>SUM(G65:K65)</f>
        <v>0</v>
      </c>
    </row>
    <row r="66" spans="1:13" ht="15.75" customHeight="1">
      <c r="A66" s="8"/>
      <c r="B66" s="29"/>
      <c r="C66" s="29"/>
      <c r="D66" s="29"/>
      <c r="E66" s="29"/>
      <c r="F66" s="4"/>
      <c r="G66" s="5"/>
      <c r="H66" s="6"/>
      <c r="I66" s="6"/>
      <c r="J66" s="6"/>
      <c r="K66" s="6"/>
      <c r="L66" s="7">
        <f>SUM(G66:K66)</f>
        <v>0</v>
      </c>
    </row>
    <row r="67" spans="1:13" ht="15.75" customHeight="1" thickBot="1">
      <c r="A67" s="19"/>
      <c r="B67" s="44"/>
      <c r="C67" s="44"/>
      <c r="D67" s="44"/>
      <c r="E67" s="44"/>
      <c r="F67" s="32" t="s">
        <v>29</v>
      </c>
      <c r="G67" s="204">
        <f>ROUND(SUM(G63:G66),0)</f>
        <v>0</v>
      </c>
      <c r="H67" s="204">
        <f>ROUND(SUM(H63:H66),0)</f>
        <v>0</v>
      </c>
      <c r="I67" s="204">
        <f>ROUND(SUM(I63:I66),0)</f>
        <v>0</v>
      </c>
      <c r="J67" s="204">
        <f>ROUND(SUM(J63:J66),0)</f>
        <v>0</v>
      </c>
      <c r="K67" s="204">
        <f>ROUND(SUM(K63:K66),0)</f>
        <v>0</v>
      </c>
      <c r="L67" s="204">
        <f t="shared" ref="L67" si="42">ROUND(SUM(L63:L66),0)</f>
        <v>0</v>
      </c>
    </row>
    <row r="68" spans="1:13" s="129" customFormat="1" ht="15.75" customHeight="1" thickBot="1">
      <c r="A68" s="179" t="s">
        <v>192</v>
      </c>
      <c r="B68" s="192" t="s">
        <v>196</v>
      </c>
      <c r="C68" s="180"/>
      <c r="D68" s="180"/>
      <c r="E68" s="180"/>
      <c r="F68" s="193"/>
      <c r="G68" s="194"/>
      <c r="H68" s="195"/>
      <c r="I68" s="195"/>
      <c r="J68" s="195"/>
      <c r="K68" s="195"/>
      <c r="L68" s="196"/>
    </row>
    <row r="69" spans="1:13" s="129" customFormat="1" ht="15.75" customHeight="1">
      <c r="A69" s="19" t="s">
        <v>195</v>
      </c>
      <c r="B69" s="44"/>
      <c r="C69" s="44"/>
      <c r="D69" s="44"/>
      <c r="E69" s="44"/>
      <c r="F69" s="43"/>
      <c r="G69" s="5"/>
      <c r="H69" s="6"/>
      <c r="I69" s="6"/>
      <c r="J69" s="6"/>
      <c r="K69" s="6"/>
      <c r="L69" s="7">
        <f>SUM(G69:K69)</f>
        <v>0</v>
      </c>
    </row>
    <row r="70" spans="1:13" s="129" customFormat="1" ht="15.75" customHeight="1" thickBot="1">
      <c r="A70" s="19"/>
      <c r="B70" s="44"/>
      <c r="C70" s="44"/>
      <c r="D70" s="44"/>
      <c r="E70" s="44"/>
      <c r="F70" s="43"/>
      <c r="G70" s="204">
        <f t="shared" ref="G70:L70" si="43">SUM(G69)</f>
        <v>0</v>
      </c>
      <c r="H70" s="204">
        <f t="shared" si="43"/>
        <v>0</v>
      </c>
      <c r="I70" s="204">
        <f t="shared" si="43"/>
        <v>0</v>
      </c>
      <c r="J70" s="204">
        <f t="shared" si="43"/>
        <v>0</v>
      </c>
      <c r="K70" s="204">
        <f t="shared" si="43"/>
        <v>0</v>
      </c>
      <c r="L70" s="204">
        <f t="shared" si="43"/>
        <v>0</v>
      </c>
    </row>
    <row r="71" spans="1:13" ht="15.75" customHeight="1" thickBot="1">
      <c r="A71" s="179" t="s">
        <v>194</v>
      </c>
      <c r="B71" s="180"/>
      <c r="C71" s="180"/>
      <c r="D71" s="180"/>
      <c r="E71" s="180"/>
      <c r="F71" s="197"/>
      <c r="G71" s="191"/>
      <c r="H71" s="186"/>
      <c r="I71" s="186"/>
      <c r="J71" s="186"/>
      <c r="K71" s="186"/>
      <c r="L71" s="187"/>
    </row>
    <row r="72" spans="1:13" ht="15.75" customHeight="1">
      <c r="A72" s="19"/>
      <c r="B72" s="44"/>
      <c r="C72" s="44"/>
      <c r="D72" s="44"/>
      <c r="E72" s="44"/>
      <c r="F72" s="44"/>
      <c r="G72" s="9"/>
      <c r="H72" s="128"/>
      <c r="I72" s="10"/>
      <c r="J72" s="10"/>
      <c r="K72" s="10"/>
      <c r="L72" s="11">
        <f>SUM(G72:K72)</f>
        <v>0</v>
      </c>
      <c r="M72" s="39"/>
    </row>
    <row r="73" spans="1:13" s="39" customFormat="1" ht="15.75" customHeight="1" thickBot="1">
      <c r="A73" s="19"/>
      <c r="B73" s="44"/>
      <c r="C73" s="44"/>
      <c r="D73" s="44"/>
      <c r="E73" s="44"/>
      <c r="F73" s="43" t="s">
        <v>30</v>
      </c>
      <c r="G73" s="204">
        <f t="shared" ref="G73:L73" si="44">ROUND(SUM(G72),0)</f>
        <v>0</v>
      </c>
      <c r="H73" s="204">
        <f t="shared" si="44"/>
        <v>0</v>
      </c>
      <c r="I73" s="204">
        <f t="shared" si="44"/>
        <v>0</v>
      </c>
      <c r="J73" s="204">
        <f t="shared" si="44"/>
        <v>0</v>
      </c>
      <c r="K73" s="204">
        <f t="shared" si="44"/>
        <v>0</v>
      </c>
      <c r="L73" s="204">
        <f t="shared" si="44"/>
        <v>0</v>
      </c>
    </row>
    <row r="74" spans="1:13" s="39" customFormat="1" ht="15.75" customHeight="1" thickBot="1">
      <c r="A74" s="179" t="s">
        <v>199</v>
      </c>
      <c r="B74" s="180"/>
      <c r="C74" s="180"/>
      <c r="D74" s="180"/>
      <c r="E74" s="180"/>
      <c r="F74" s="181"/>
      <c r="G74" s="191"/>
      <c r="H74" s="186"/>
      <c r="I74" s="186"/>
      <c r="J74" s="186"/>
      <c r="K74" s="186"/>
      <c r="L74" s="187"/>
      <c r="M74" s="36"/>
    </row>
    <row r="75" spans="1:13" ht="15.75" customHeight="1">
      <c r="A75" s="19"/>
      <c r="B75" s="44"/>
      <c r="C75" s="44"/>
      <c r="D75" s="44"/>
      <c r="E75" s="44"/>
      <c r="F75" s="4"/>
      <c r="G75" s="5"/>
      <c r="H75" s="6"/>
      <c r="I75" s="6"/>
      <c r="J75" s="6"/>
      <c r="K75" s="6"/>
      <c r="L75" s="7">
        <f>SUM(G75:K75)</f>
        <v>0</v>
      </c>
    </row>
    <row r="76" spans="1:13" ht="15.75" customHeight="1">
      <c r="A76" s="21"/>
      <c r="B76" s="24"/>
      <c r="C76" s="24"/>
      <c r="D76" s="24"/>
      <c r="E76" s="24"/>
      <c r="F76" s="16"/>
      <c r="G76" s="9"/>
      <c r="H76" s="128"/>
      <c r="I76" s="128"/>
      <c r="J76" s="128"/>
      <c r="K76" s="128"/>
      <c r="L76" s="7">
        <f>SUM(G76:K76)</f>
        <v>0</v>
      </c>
    </row>
    <row r="77" spans="1:13" ht="15.75" customHeight="1" thickBot="1">
      <c r="A77" s="19"/>
      <c r="B77" s="44"/>
      <c r="C77" s="44"/>
      <c r="D77" s="44"/>
      <c r="E77" s="44"/>
      <c r="F77" s="32" t="s">
        <v>31</v>
      </c>
      <c r="G77" s="204">
        <f t="shared" ref="G77:L77" si="45">SUM(G75:G76)</f>
        <v>0</v>
      </c>
      <c r="H77" s="204">
        <f t="shared" si="45"/>
        <v>0</v>
      </c>
      <c r="I77" s="204">
        <f t="shared" si="45"/>
        <v>0</v>
      </c>
      <c r="J77" s="204">
        <f t="shared" si="45"/>
        <v>0</v>
      </c>
      <c r="K77" s="204">
        <f t="shared" si="45"/>
        <v>0</v>
      </c>
      <c r="L77" s="206">
        <f t="shared" si="45"/>
        <v>0</v>
      </c>
      <c r="M77" s="39"/>
    </row>
    <row r="78" spans="1:13" s="39" customFormat="1" ht="15.75" customHeight="1" thickBot="1">
      <c r="A78" s="179" t="s">
        <v>44</v>
      </c>
      <c r="B78" s="180"/>
      <c r="C78" s="180"/>
      <c r="D78" s="180"/>
      <c r="E78" s="180"/>
      <c r="F78" s="181"/>
      <c r="G78" s="186"/>
      <c r="H78" s="186"/>
      <c r="I78" s="186"/>
      <c r="J78" s="186"/>
      <c r="K78" s="186"/>
      <c r="L78" s="187"/>
      <c r="M78" s="36"/>
    </row>
    <row r="79" spans="1:13" ht="15.75" customHeight="1">
      <c r="A79" s="19"/>
      <c r="B79" s="44"/>
      <c r="C79" s="44"/>
      <c r="D79" s="44"/>
      <c r="E79" s="44"/>
      <c r="F79" s="44"/>
      <c r="G79" s="9"/>
      <c r="H79" s="128"/>
      <c r="I79" s="10"/>
      <c r="J79" s="10"/>
      <c r="K79" s="10"/>
      <c r="L79" s="11">
        <f>SUM(G79:K79)</f>
        <v>0</v>
      </c>
      <c r="M79" s="39"/>
    </row>
    <row r="80" spans="1:13" s="39" customFormat="1" ht="15.75" customHeight="1" thickBot="1">
      <c r="A80" s="19"/>
      <c r="B80" s="44"/>
      <c r="C80" s="44"/>
      <c r="D80" s="44"/>
      <c r="E80" s="44"/>
      <c r="F80" s="43" t="s">
        <v>32</v>
      </c>
      <c r="G80" s="204">
        <f t="shared" ref="G80:L80" si="46">SUM(G79)</f>
        <v>0</v>
      </c>
      <c r="H80" s="204">
        <f t="shared" si="46"/>
        <v>0</v>
      </c>
      <c r="I80" s="204">
        <f t="shared" si="46"/>
        <v>0</v>
      </c>
      <c r="J80" s="204">
        <f t="shared" si="46"/>
        <v>0</v>
      </c>
      <c r="K80" s="204">
        <f t="shared" si="46"/>
        <v>0</v>
      </c>
      <c r="L80" s="206">
        <f t="shared" si="46"/>
        <v>0</v>
      </c>
    </row>
    <row r="81" spans="1:23" s="39" customFormat="1" ht="15.75" customHeight="1" thickBot="1">
      <c r="A81" s="179" t="s">
        <v>200</v>
      </c>
      <c r="B81" s="180"/>
      <c r="C81" s="180"/>
      <c r="D81" s="180"/>
      <c r="E81" s="180"/>
      <c r="F81" s="181"/>
      <c r="G81" s="186"/>
      <c r="H81" s="186"/>
      <c r="I81" s="186"/>
      <c r="J81" s="186"/>
      <c r="K81" s="186"/>
      <c r="L81" s="187"/>
      <c r="M81" s="36"/>
    </row>
    <row r="82" spans="1:23" ht="15.75" customHeight="1">
      <c r="A82" s="19"/>
      <c r="B82" s="44"/>
      <c r="C82" s="44"/>
      <c r="D82" s="44"/>
      <c r="E82" s="44"/>
      <c r="F82" s="16"/>
      <c r="G82" s="9"/>
      <c r="H82" s="128"/>
      <c r="I82" s="10"/>
      <c r="J82" s="10"/>
      <c r="K82" s="10"/>
      <c r="L82" s="11">
        <f>SUM(G82:K82)</f>
        <v>0</v>
      </c>
      <c r="M82" s="39"/>
    </row>
    <row r="83" spans="1:23" s="39" customFormat="1" ht="15.75" customHeight="1" thickBot="1">
      <c r="A83" s="19"/>
      <c r="B83" s="44"/>
      <c r="C83" s="44"/>
      <c r="D83" s="44"/>
      <c r="E83" s="44"/>
      <c r="F83" s="32" t="s">
        <v>33</v>
      </c>
      <c r="G83" s="204">
        <f t="shared" ref="G83:L83" si="47">SUM(G82)</f>
        <v>0</v>
      </c>
      <c r="H83" s="204">
        <f t="shared" ref="H83" si="48">SUM(H82)</f>
        <v>0</v>
      </c>
      <c r="I83" s="204">
        <f t="shared" si="47"/>
        <v>0</v>
      </c>
      <c r="J83" s="204">
        <f t="shared" si="47"/>
        <v>0</v>
      </c>
      <c r="K83" s="204">
        <f t="shared" si="47"/>
        <v>0</v>
      </c>
      <c r="L83" s="204">
        <f t="shared" si="47"/>
        <v>0</v>
      </c>
    </row>
    <row r="84" spans="1:23" s="39" customFormat="1" ht="15.75" customHeight="1" thickBot="1">
      <c r="A84" s="132" t="s">
        <v>9</v>
      </c>
      <c r="B84" s="133"/>
      <c r="C84" s="133"/>
      <c r="D84" s="133"/>
      <c r="E84" s="133"/>
      <c r="F84" s="134"/>
      <c r="G84" s="131">
        <f t="shared" ref="G84:L84" si="49">ROUND(SUM(G41+G43+G49+G57+G67+G70+G73+G77+G80+G61+G83),0)</f>
        <v>0</v>
      </c>
      <c r="H84" s="131">
        <f t="shared" si="49"/>
        <v>0</v>
      </c>
      <c r="I84" s="131">
        <f t="shared" si="49"/>
        <v>0</v>
      </c>
      <c r="J84" s="131">
        <f t="shared" si="49"/>
        <v>0</v>
      </c>
      <c r="K84" s="131">
        <f t="shared" si="49"/>
        <v>0</v>
      </c>
      <c r="L84" s="131">
        <f t="shared" si="49"/>
        <v>0</v>
      </c>
      <c r="M84" s="36"/>
    </row>
    <row r="85" spans="1:23" ht="15.75" customHeight="1" thickBot="1">
      <c r="A85" s="179" t="s">
        <v>12</v>
      </c>
      <c r="B85" s="180"/>
      <c r="C85" s="180"/>
      <c r="D85" s="180"/>
      <c r="E85" s="180"/>
      <c r="F85" s="181"/>
      <c r="G85" s="186"/>
      <c r="H85" s="186"/>
      <c r="I85" s="186"/>
      <c r="J85" s="186"/>
      <c r="K85" s="186"/>
      <c r="L85" s="187"/>
    </row>
    <row r="86" spans="1:23" ht="15.75" customHeight="1">
      <c r="A86" s="8" t="s">
        <v>10</v>
      </c>
      <c r="B86" s="29"/>
      <c r="C86" s="29"/>
      <c r="D86" s="29"/>
      <c r="E86" s="29"/>
      <c r="F86" s="4"/>
      <c r="G86" s="1"/>
      <c r="H86" s="2"/>
      <c r="I86" s="2"/>
      <c r="J86" s="2"/>
      <c r="K86" s="2"/>
      <c r="L86" s="3">
        <f>SUM(G86:K86)</f>
        <v>0</v>
      </c>
    </row>
    <row r="87" spans="1:23" ht="15.75" customHeight="1">
      <c r="A87" s="8" t="s">
        <v>11</v>
      </c>
      <c r="B87" s="29"/>
      <c r="C87" s="29"/>
      <c r="D87" s="29"/>
      <c r="E87" s="29"/>
      <c r="F87" s="4"/>
      <c r="G87" s="9">
        <f t="shared" ref="G87:K87" si="50">+G49</f>
        <v>0</v>
      </c>
      <c r="H87" s="128">
        <f t="shared" ref="H87" si="51">+H49</f>
        <v>0</v>
      </c>
      <c r="I87" s="128">
        <f t="shared" si="50"/>
        <v>0</v>
      </c>
      <c r="J87" s="128">
        <f t="shared" si="50"/>
        <v>0</v>
      </c>
      <c r="K87" s="128">
        <f t="shared" si="50"/>
        <v>0</v>
      </c>
      <c r="L87" s="11">
        <f t="shared" ref="L87:L89" si="52">SUM(G87:K87)</f>
        <v>0</v>
      </c>
    </row>
    <row r="88" spans="1:23" ht="21.75">
      <c r="A88" s="8" t="s">
        <v>315</v>
      </c>
      <c r="B88" s="29"/>
      <c r="C88" s="29"/>
      <c r="D88" s="100"/>
      <c r="E88" s="29"/>
      <c r="F88" s="4"/>
      <c r="G88" s="98"/>
      <c r="H88" s="99"/>
      <c r="I88" s="128"/>
      <c r="J88" s="128"/>
      <c r="K88" s="128"/>
      <c r="L88" s="11">
        <f t="shared" si="52"/>
        <v>0</v>
      </c>
      <c r="N88" s="229"/>
      <c r="O88" s="229"/>
      <c r="P88" s="229"/>
      <c r="Q88" s="229"/>
      <c r="R88" s="229"/>
      <c r="S88" s="229"/>
      <c r="T88" s="229"/>
      <c r="U88" s="229"/>
      <c r="V88" s="229"/>
      <c r="W88" s="229"/>
    </row>
    <row r="89" spans="1:23" ht="22.5" thickBot="1">
      <c r="A89" s="17" t="s">
        <v>22</v>
      </c>
      <c r="B89" s="22"/>
      <c r="C89" s="22"/>
      <c r="D89" s="22"/>
      <c r="E89" s="22"/>
      <c r="F89" s="18"/>
      <c r="G89" s="9">
        <v>0</v>
      </c>
      <c r="H89" s="128"/>
      <c r="I89" s="10"/>
      <c r="J89" s="10"/>
      <c r="K89" s="10"/>
      <c r="L89" s="316">
        <f t="shared" si="52"/>
        <v>0</v>
      </c>
      <c r="N89" s="229"/>
      <c r="O89" s="229"/>
      <c r="P89" s="229"/>
      <c r="Q89" s="229"/>
      <c r="R89" s="229"/>
      <c r="S89" s="229"/>
      <c r="T89" s="229"/>
      <c r="U89" s="229"/>
      <c r="V89" s="229"/>
      <c r="W89" s="229"/>
    </row>
    <row r="90" spans="1:23" ht="22.5" thickBot="1">
      <c r="A90" s="23"/>
      <c r="B90" s="38"/>
      <c r="C90" s="38"/>
      <c r="D90" s="38"/>
      <c r="E90" s="38"/>
      <c r="F90" s="125" t="s">
        <v>51</v>
      </c>
      <c r="G90" s="131">
        <f>+G84-G86-G87-G88-G89</f>
        <v>0</v>
      </c>
      <c r="H90" s="131">
        <f t="shared" ref="H90:L90" si="53">+H84-H86-H87-H88-H89</f>
        <v>0</v>
      </c>
      <c r="I90" s="131">
        <f t="shared" si="53"/>
        <v>0</v>
      </c>
      <c r="J90" s="131">
        <f t="shared" si="53"/>
        <v>0</v>
      </c>
      <c r="K90" s="131">
        <f t="shared" si="53"/>
        <v>0</v>
      </c>
      <c r="L90" s="131">
        <f t="shared" si="53"/>
        <v>0</v>
      </c>
      <c r="M90" s="268" t="s">
        <v>288</v>
      </c>
      <c r="N90" s="229"/>
      <c r="O90" s="229"/>
      <c r="P90" s="229"/>
      <c r="Q90" s="229"/>
      <c r="R90" s="229"/>
      <c r="S90" s="229"/>
      <c r="T90" s="229"/>
      <c r="U90" s="229"/>
      <c r="V90" s="229"/>
      <c r="W90" s="229"/>
    </row>
    <row r="91" spans="1:23" ht="22.5" thickBot="1">
      <c r="A91" s="123" t="s">
        <v>14</v>
      </c>
      <c r="B91" s="124"/>
      <c r="C91" s="124"/>
      <c r="D91" s="124"/>
      <c r="E91" s="226" t="s">
        <v>191</v>
      </c>
      <c r="F91" s="94">
        <v>0</v>
      </c>
      <c r="G91" s="205">
        <f>ROUND(G90*F91,0)</f>
        <v>0</v>
      </c>
      <c r="H91" s="205">
        <f>ROUND(H90*$F91,0)</f>
        <v>0</v>
      </c>
      <c r="I91" s="205">
        <f t="shared" ref="I91:K91" si="54">ROUND(I90*$F91,0)</f>
        <v>0</v>
      </c>
      <c r="J91" s="205">
        <f t="shared" si="54"/>
        <v>0</v>
      </c>
      <c r="K91" s="205">
        <f t="shared" si="54"/>
        <v>0</v>
      </c>
      <c r="L91" s="261">
        <f>ROUND((L90*F91),0)</f>
        <v>0</v>
      </c>
      <c r="M91" s="274">
        <f>SUM(G91:K91)</f>
        <v>0</v>
      </c>
      <c r="N91" s="229"/>
      <c r="O91" s="229"/>
      <c r="P91" s="229"/>
      <c r="Q91" s="229"/>
      <c r="R91" s="229"/>
      <c r="S91" s="229"/>
      <c r="T91" s="229"/>
      <c r="U91" s="229"/>
      <c r="V91" s="229"/>
      <c r="W91" s="229"/>
    </row>
    <row r="92" spans="1:23" ht="15.75" customHeight="1" thickBot="1">
      <c r="A92" s="135" t="s">
        <v>36</v>
      </c>
      <c r="B92" s="136"/>
      <c r="C92" s="136"/>
      <c r="D92" s="136"/>
      <c r="E92" s="136"/>
      <c r="F92" s="137"/>
      <c r="G92" s="131">
        <f>ROUND(SUM(G84+G91),0)</f>
        <v>0</v>
      </c>
      <c r="H92" s="131">
        <f t="shared" ref="H92:L92" si="55">ROUND(SUM(H84+H91),0)</f>
        <v>0</v>
      </c>
      <c r="I92" s="131">
        <f t="shared" si="55"/>
        <v>0</v>
      </c>
      <c r="J92" s="131">
        <f t="shared" si="55"/>
        <v>0</v>
      </c>
      <c r="K92" s="131">
        <f t="shared" si="55"/>
        <v>0</v>
      </c>
      <c r="L92" s="131">
        <f t="shared" si="55"/>
        <v>0</v>
      </c>
    </row>
    <row r="93" spans="1:23" ht="15.75" customHeight="1" thickBot="1">
      <c r="A93" s="126" t="s">
        <v>56</v>
      </c>
      <c r="B93" s="26" t="s">
        <v>15</v>
      </c>
      <c r="C93" s="25" t="s">
        <v>16</v>
      </c>
      <c r="D93" s="25" t="s">
        <v>17</v>
      </c>
      <c r="E93" s="25" t="s">
        <v>18</v>
      </c>
      <c r="F93" s="25" t="s">
        <v>19</v>
      </c>
      <c r="G93" s="36"/>
      <c r="H93" s="129"/>
      <c r="I93" s="36"/>
      <c r="J93" s="36"/>
      <c r="K93" s="36"/>
      <c r="L93" s="36"/>
    </row>
    <row r="94" spans="1:23" ht="15.75" customHeight="1" thickBot="1">
      <c r="A94" s="127"/>
      <c r="B94" s="26" t="s">
        <v>188</v>
      </c>
      <c r="C94" s="25"/>
      <c r="D94" s="25"/>
      <c r="E94" s="25"/>
      <c r="F94" s="26"/>
      <c r="G94" s="317"/>
      <c r="H94" s="318"/>
      <c r="I94" s="318"/>
      <c r="J94" s="318"/>
      <c r="K94" s="318"/>
    </row>
    <row r="95" spans="1:23" s="39" customFormat="1" ht="15.75" customHeight="1">
      <c r="A95" s="518" t="s">
        <v>190</v>
      </c>
      <c r="B95" s="519"/>
      <c r="C95" s="519"/>
      <c r="D95" s="519"/>
      <c r="E95" s="519"/>
    </row>
    <row r="96" spans="1:23" s="39" customFormat="1" ht="15.75" customHeight="1" thickBot="1"/>
    <row r="97" spans="1:12" ht="15.75" customHeight="1" thickBot="1">
      <c r="D97" s="512" t="s">
        <v>39</v>
      </c>
      <c r="E97" s="513"/>
      <c r="F97" s="514"/>
      <c r="G97" s="113" t="s">
        <v>182</v>
      </c>
      <c r="H97" s="113" t="s">
        <v>0</v>
      </c>
      <c r="I97" s="113" t="s">
        <v>1</v>
      </c>
      <c r="J97" s="113" t="s">
        <v>2</v>
      </c>
      <c r="K97" s="113" t="s">
        <v>3</v>
      </c>
      <c r="L97" s="113" t="s">
        <v>62</v>
      </c>
    </row>
    <row r="98" spans="1:12" ht="15.75" customHeight="1" thickBot="1">
      <c r="D98" s="8"/>
      <c r="E98" s="29"/>
      <c r="F98" s="51" t="s">
        <v>40</v>
      </c>
      <c r="G98" s="7">
        <f t="shared" ref="G98:L99" si="56">G39</f>
        <v>0</v>
      </c>
      <c r="H98" s="7">
        <f t="shared" si="56"/>
        <v>0</v>
      </c>
      <c r="I98" s="7">
        <f t="shared" si="56"/>
        <v>0</v>
      </c>
      <c r="J98" s="7">
        <f t="shared" si="56"/>
        <v>0</v>
      </c>
      <c r="K98" s="7">
        <f t="shared" si="56"/>
        <v>0</v>
      </c>
      <c r="L98" s="7">
        <f t="shared" si="56"/>
        <v>0</v>
      </c>
    </row>
    <row r="99" spans="1:12" ht="15.75" customHeight="1" thickTop="1">
      <c r="A99" s="515" t="s">
        <v>76</v>
      </c>
      <c r="B99" s="516"/>
      <c r="D99" s="8"/>
      <c r="E99" s="29"/>
      <c r="F99" s="51" t="s">
        <v>41</v>
      </c>
      <c r="G99" s="7">
        <f t="shared" si="56"/>
        <v>0</v>
      </c>
      <c r="H99" s="7">
        <f t="shared" si="56"/>
        <v>0</v>
      </c>
      <c r="I99" s="7">
        <f t="shared" si="56"/>
        <v>0</v>
      </c>
      <c r="J99" s="7">
        <f t="shared" si="56"/>
        <v>0</v>
      </c>
      <c r="K99" s="7">
        <f t="shared" si="56"/>
        <v>0</v>
      </c>
      <c r="L99" s="7">
        <f t="shared" si="56"/>
        <v>0</v>
      </c>
    </row>
    <row r="100" spans="1:12" ht="15.75" customHeight="1">
      <c r="A100" s="517"/>
      <c r="B100" s="476"/>
      <c r="D100" s="8"/>
      <c r="E100" s="29"/>
      <c r="F100" s="51" t="s">
        <v>66</v>
      </c>
      <c r="G100" s="7">
        <f t="shared" ref="G100:L100" si="57">G77</f>
        <v>0</v>
      </c>
      <c r="H100" s="7">
        <f t="shared" si="57"/>
        <v>0</v>
      </c>
      <c r="I100" s="7">
        <f t="shared" si="57"/>
        <v>0</v>
      </c>
      <c r="J100" s="7">
        <f t="shared" si="57"/>
        <v>0</v>
      </c>
      <c r="K100" s="7">
        <f t="shared" si="57"/>
        <v>0</v>
      </c>
      <c r="L100" s="7">
        <f t="shared" si="57"/>
        <v>0</v>
      </c>
    </row>
    <row r="101" spans="1:12" ht="15.75" customHeight="1">
      <c r="A101" s="517"/>
      <c r="B101" s="476"/>
      <c r="D101" s="8"/>
      <c r="E101" s="29"/>
      <c r="F101" s="51" t="s">
        <v>42</v>
      </c>
      <c r="G101" s="7">
        <f t="shared" ref="G101:L101" si="58">G57</f>
        <v>0</v>
      </c>
      <c r="H101" s="7">
        <f t="shared" si="58"/>
        <v>0</v>
      </c>
      <c r="I101" s="7">
        <f t="shared" si="58"/>
        <v>0</v>
      </c>
      <c r="J101" s="7">
        <f t="shared" si="58"/>
        <v>0</v>
      </c>
      <c r="K101" s="7">
        <f t="shared" si="58"/>
        <v>0</v>
      </c>
      <c r="L101" s="7">
        <f t="shared" si="58"/>
        <v>0</v>
      </c>
    </row>
    <row r="102" spans="1:12" ht="15.75" customHeight="1">
      <c r="A102" s="475" t="s">
        <v>77</v>
      </c>
      <c r="B102" s="476"/>
      <c r="D102" s="8"/>
      <c r="E102" s="29"/>
      <c r="F102" s="51" t="s">
        <v>43</v>
      </c>
      <c r="G102" s="7">
        <f t="shared" ref="G102:L102" si="59">G61</f>
        <v>0</v>
      </c>
      <c r="H102" s="7">
        <f t="shared" si="59"/>
        <v>0</v>
      </c>
      <c r="I102" s="7">
        <f t="shared" si="59"/>
        <v>0</v>
      </c>
      <c r="J102" s="7">
        <f t="shared" si="59"/>
        <v>0</v>
      </c>
      <c r="K102" s="7">
        <f t="shared" si="59"/>
        <v>0</v>
      </c>
      <c r="L102" s="7">
        <f t="shared" si="59"/>
        <v>0</v>
      </c>
    </row>
    <row r="103" spans="1:12" ht="15.75" customHeight="1" thickBot="1">
      <c r="A103" s="477"/>
      <c r="B103" s="478"/>
      <c r="D103" s="8"/>
      <c r="E103" s="29"/>
      <c r="F103" s="51" t="s">
        <v>44</v>
      </c>
      <c r="G103" s="7">
        <f t="shared" ref="G103:L103" si="60">G80</f>
        <v>0</v>
      </c>
      <c r="H103" s="7">
        <f t="shared" si="60"/>
        <v>0</v>
      </c>
      <c r="I103" s="7">
        <f t="shared" si="60"/>
        <v>0</v>
      </c>
      <c r="J103" s="7">
        <f t="shared" si="60"/>
        <v>0</v>
      </c>
      <c r="K103" s="7">
        <f t="shared" si="60"/>
        <v>0</v>
      </c>
      <c r="L103" s="7">
        <f t="shared" si="60"/>
        <v>0</v>
      </c>
    </row>
    <row r="104" spans="1:12" ht="15.75" customHeight="1" thickTop="1">
      <c r="D104" s="8"/>
      <c r="E104" s="29"/>
      <c r="F104" s="51" t="s">
        <v>45</v>
      </c>
      <c r="G104" s="7">
        <f t="shared" ref="G104:L104" si="61">G49</f>
        <v>0</v>
      </c>
      <c r="H104" s="7">
        <f t="shared" si="61"/>
        <v>0</v>
      </c>
      <c r="I104" s="7">
        <f t="shared" si="61"/>
        <v>0</v>
      </c>
      <c r="J104" s="7">
        <f t="shared" si="61"/>
        <v>0</v>
      </c>
      <c r="K104" s="7">
        <f t="shared" si="61"/>
        <v>0</v>
      </c>
      <c r="L104" s="7">
        <f t="shared" si="61"/>
        <v>0</v>
      </c>
    </row>
    <row r="105" spans="1:12" ht="15.75" customHeight="1">
      <c r="D105" s="8"/>
      <c r="E105" s="29"/>
      <c r="F105" s="51" t="s">
        <v>46</v>
      </c>
      <c r="G105" s="7">
        <f t="shared" ref="G105:L105" si="62">G43</f>
        <v>0</v>
      </c>
      <c r="H105" s="7">
        <f t="shared" si="62"/>
        <v>0</v>
      </c>
      <c r="I105" s="7">
        <f t="shared" si="62"/>
        <v>0</v>
      </c>
      <c r="J105" s="7">
        <f t="shared" si="62"/>
        <v>0</v>
      </c>
      <c r="K105" s="7">
        <f t="shared" si="62"/>
        <v>0</v>
      </c>
      <c r="L105" s="7">
        <f t="shared" si="62"/>
        <v>0</v>
      </c>
    </row>
    <row r="106" spans="1:12" ht="15.75" customHeight="1">
      <c r="D106" s="8"/>
      <c r="E106" s="29"/>
      <c r="F106" s="51" t="s">
        <v>47</v>
      </c>
      <c r="G106" s="7">
        <f t="shared" ref="G106:L106" si="63">G83</f>
        <v>0</v>
      </c>
      <c r="H106" s="7">
        <f t="shared" si="63"/>
        <v>0</v>
      </c>
      <c r="I106" s="7">
        <f t="shared" si="63"/>
        <v>0</v>
      </c>
      <c r="J106" s="7">
        <f t="shared" si="63"/>
        <v>0</v>
      </c>
      <c r="K106" s="7">
        <f t="shared" si="63"/>
        <v>0</v>
      </c>
      <c r="L106" s="7">
        <f t="shared" si="63"/>
        <v>0</v>
      </c>
    </row>
    <row r="107" spans="1:12" ht="15.75" customHeight="1">
      <c r="D107" s="8"/>
      <c r="E107" s="29"/>
      <c r="F107" s="51" t="s">
        <v>48</v>
      </c>
      <c r="G107" s="7">
        <f t="shared" ref="G107:L107" si="64">G73</f>
        <v>0</v>
      </c>
      <c r="H107" s="7">
        <f t="shared" si="64"/>
        <v>0</v>
      </c>
      <c r="I107" s="7">
        <f t="shared" si="64"/>
        <v>0</v>
      </c>
      <c r="J107" s="7">
        <f t="shared" si="64"/>
        <v>0</v>
      </c>
      <c r="K107" s="7">
        <f t="shared" si="64"/>
        <v>0</v>
      </c>
      <c r="L107" s="7">
        <f t="shared" si="64"/>
        <v>0</v>
      </c>
    </row>
    <row r="108" spans="1:12" s="129" customFormat="1" ht="15.75" customHeight="1">
      <c r="D108" s="8"/>
      <c r="E108" s="29"/>
      <c r="F108" s="51" t="s">
        <v>49</v>
      </c>
      <c r="G108" s="7">
        <f t="shared" ref="G108:L108" si="65">G66</f>
        <v>0</v>
      </c>
      <c r="H108" s="7">
        <f t="shared" si="65"/>
        <v>0</v>
      </c>
      <c r="I108" s="7">
        <f t="shared" si="65"/>
        <v>0</v>
      </c>
      <c r="J108" s="7">
        <f t="shared" si="65"/>
        <v>0</v>
      </c>
      <c r="K108" s="7">
        <f t="shared" si="65"/>
        <v>0</v>
      </c>
      <c r="L108" s="7">
        <f t="shared" si="65"/>
        <v>0</v>
      </c>
    </row>
    <row r="109" spans="1:12" ht="15.75" customHeight="1" thickBot="1">
      <c r="D109" s="8"/>
      <c r="E109" s="29"/>
      <c r="F109" s="51" t="s">
        <v>204</v>
      </c>
      <c r="G109" s="7">
        <f t="shared" ref="G109:L109" si="66">G70</f>
        <v>0</v>
      </c>
      <c r="H109" s="7">
        <f t="shared" si="66"/>
        <v>0</v>
      </c>
      <c r="I109" s="7">
        <f t="shared" si="66"/>
        <v>0</v>
      </c>
      <c r="J109" s="7">
        <f t="shared" si="66"/>
        <v>0</v>
      </c>
      <c r="K109" s="7">
        <f t="shared" si="66"/>
        <v>0</v>
      </c>
      <c r="L109" s="7">
        <f t="shared" si="66"/>
        <v>0</v>
      </c>
    </row>
    <row r="110" spans="1:12" ht="15.75" customHeight="1" thickBot="1">
      <c r="D110" s="42"/>
      <c r="E110" s="31"/>
      <c r="F110" s="52" t="s">
        <v>21</v>
      </c>
      <c r="G110" s="53">
        <f t="shared" ref="G110:L110" si="67">G84</f>
        <v>0</v>
      </c>
      <c r="H110" s="53">
        <f t="shared" si="67"/>
        <v>0</v>
      </c>
      <c r="I110" s="53">
        <f t="shared" si="67"/>
        <v>0</v>
      </c>
      <c r="J110" s="53">
        <f t="shared" si="67"/>
        <v>0</v>
      </c>
      <c r="K110" s="53">
        <f t="shared" si="67"/>
        <v>0</v>
      </c>
      <c r="L110" s="53">
        <f t="shared" si="67"/>
        <v>0</v>
      </c>
    </row>
    <row r="111" spans="1:12" ht="15.75" customHeight="1" thickBot="1">
      <c r="A111" s="173" t="s">
        <v>348</v>
      </c>
      <c r="D111" s="8"/>
      <c r="E111" s="29"/>
      <c r="F111" s="51" t="s">
        <v>50</v>
      </c>
      <c r="G111" s="7">
        <f t="shared" ref="G111:L111" si="68">G91</f>
        <v>0</v>
      </c>
      <c r="H111" s="7">
        <f t="shared" si="68"/>
        <v>0</v>
      </c>
      <c r="I111" s="7">
        <f t="shared" si="68"/>
        <v>0</v>
      </c>
      <c r="J111" s="7">
        <f t="shared" si="68"/>
        <v>0</v>
      </c>
      <c r="K111" s="7">
        <f t="shared" si="68"/>
        <v>0</v>
      </c>
      <c r="L111" s="7">
        <f t="shared" si="68"/>
        <v>0</v>
      </c>
    </row>
    <row r="112" spans="1:12" ht="15.75" customHeight="1" thickBot="1">
      <c r="D112" s="42"/>
      <c r="E112" s="31"/>
      <c r="F112" s="52" t="s">
        <v>20</v>
      </c>
      <c r="G112" s="53">
        <f>G92</f>
        <v>0</v>
      </c>
      <c r="H112" s="53">
        <f t="shared" ref="H112:K112" si="69">H92</f>
        <v>0</v>
      </c>
      <c r="I112" s="53">
        <f t="shared" si="69"/>
        <v>0</v>
      </c>
      <c r="J112" s="53">
        <f t="shared" si="69"/>
        <v>0</v>
      </c>
      <c r="K112" s="53">
        <f t="shared" si="69"/>
        <v>0</v>
      </c>
      <c r="L112" s="53">
        <f>L92</f>
        <v>0</v>
      </c>
    </row>
    <row r="114" spans="1:10" ht="15.75" customHeight="1">
      <c r="A114" s="106" t="s">
        <v>71</v>
      </c>
      <c r="B114" s="104"/>
      <c r="C114" s="104"/>
      <c r="D114" s="104"/>
      <c r="E114" s="104"/>
      <c r="F114" s="104"/>
      <c r="G114" s="104"/>
      <c r="H114" s="104"/>
      <c r="I114" s="104"/>
      <c r="J114" s="105"/>
    </row>
    <row r="115" spans="1:10" ht="15.75" customHeight="1">
      <c r="A115" s="106" t="s">
        <v>60</v>
      </c>
      <c r="B115" s="104"/>
      <c r="C115" s="104"/>
      <c r="D115" s="104"/>
      <c r="E115" s="104"/>
      <c r="F115" s="104"/>
      <c r="G115" s="104"/>
      <c r="H115" s="104"/>
      <c r="I115" s="104"/>
      <c r="J115" s="105"/>
    </row>
    <row r="116" spans="1:10" ht="15.75" customHeight="1">
      <c r="A116" s="103" t="s">
        <v>72</v>
      </c>
      <c r="B116" s="104"/>
      <c r="C116" s="104"/>
      <c r="D116" s="104"/>
      <c r="E116" s="104"/>
      <c r="F116" s="104"/>
      <c r="G116" s="104"/>
      <c r="H116" s="104"/>
      <c r="I116" s="104"/>
      <c r="J116" s="105"/>
    </row>
    <row r="117" spans="1:10" ht="15.75" customHeight="1">
      <c r="A117" s="103" t="s">
        <v>73</v>
      </c>
      <c r="B117" s="104"/>
      <c r="C117" s="104"/>
      <c r="D117" s="104"/>
      <c r="E117" s="104"/>
      <c r="F117" s="104"/>
      <c r="G117" s="104"/>
      <c r="H117" s="104"/>
      <c r="I117" s="104"/>
      <c r="J117" s="105"/>
    </row>
    <row r="118" spans="1:10" ht="15.75" customHeight="1">
      <c r="A118" s="107" t="s">
        <v>63</v>
      </c>
      <c r="B118" s="102"/>
      <c r="C118" s="102">
        <v>9.8000000000000004E-2</v>
      </c>
    </row>
    <row r="119" spans="1:10" ht="15.75" customHeight="1">
      <c r="A119" s="107" t="s">
        <v>74</v>
      </c>
      <c r="C119" s="102">
        <v>0.19</v>
      </c>
    </row>
    <row r="120" spans="1:10" ht="15.75" customHeight="1">
      <c r="A120" s="107" t="s">
        <v>64</v>
      </c>
      <c r="C120" s="102">
        <v>0.63200000000000001</v>
      </c>
    </row>
    <row r="121" spans="1:10" ht="15.75" customHeight="1">
      <c r="A121" s="107" t="s">
        <v>75</v>
      </c>
    </row>
  </sheetData>
  <mergeCells count="8">
    <mergeCell ref="A102:B103"/>
    <mergeCell ref="M34:R36"/>
    <mergeCell ref="M21:R23"/>
    <mergeCell ref="M7:R8"/>
    <mergeCell ref="M51:R54"/>
    <mergeCell ref="D97:F97"/>
    <mergeCell ref="A99:B101"/>
    <mergeCell ref="A95:E95"/>
  </mergeCells>
  <phoneticPr fontId="0" type="noConversion"/>
  <hyperlinks>
    <hyperlink ref="B68" r:id="rId1" location="state "/>
  </hyperlinks>
  <printOptions horizontalCentered="1"/>
  <pageMargins left="0.25" right="0.25" top="0.25" bottom="0.22" header="0.28000000000000003" footer="0.17"/>
  <pageSetup scale="48" orientation="portrait" r:id="rId2"/>
  <headerFooter alignWithMargins="0">
    <oddFooter>&amp;R&amp;"Century Gothic,Regular"&amp;Z&amp;F</oddFooter>
  </headerFooter>
  <rowBreaks count="1" manualBreakCount="1">
    <brk id="94" max="16383" man="1"/>
  </rowBreaks>
  <ignoredErrors>
    <ignoredError sqref="G23 G28" formula="1"/>
    <ignoredError sqref="L21:L22 L25:L26 L29 L33 L46:L48 L52:L56 L59:L60 L64:L66 J77:K77 L72 J73:K73 L76 L79 L82 J83:K83 L37 G83 G73 G77 I83 I73 I77 L77 L7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zoomScale="80" zoomScaleNormal="80" workbookViewId="0">
      <selection activeCell="F121" sqref="F121"/>
    </sheetView>
  </sheetViews>
  <sheetFormatPr defaultColWidth="9.140625" defaultRowHeight="15.75" customHeight="1"/>
  <cols>
    <col min="1" max="1" width="43.7109375" style="129" customWidth="1"/>
    <col min="2" max="2" width="11.7109375" style="129" customWidth="1"/>
    <col min="3" max="3" width="10.140625" style="129" customWidth="1"/>
    <col min="4" max="4" width="13" style="129" customWidth="1"/>
    <col min="5" max="5" width="10.7109375" style="129" customWidth="1"/>
    <col min="6" max="6" width="11.140625" style="41" customWidth="1"/>
    <col min="7" max="8" width="15.85546875" style="130" customWidth="1"/>
    <col min="9" max="9" width="18.140625" style="130" customWidth="1"/>
    <col min="10" max="12" width="15.85546875" style="130" customWidth="1"/>
    <col min="13" max="13" width="12.28515625" style="129" bestFit="1" customWidth="1"/>
    <col min="14" max="14" width="14.5703125" style="129" customWidth="1"/>
    <col min="15" max="16384" width="9.140625" style="129"/>
  </cols>
  <sheetData>
    <row r="1" spans="1:18" s="89" customFormat="1" ht="22.5" customHeight="1" thickTop="1" thickBot="1">
      <c r="A1" s="520" t="s">
        <v>37</v>
      </c>
      <c r="B1" s="520"/>
      <c r="C1" s="520"/>
      <c r="D1" s="520"/>
      <c r="E1" s="520"/>
      <c r="F1" s="520"/>
      <c r="G1" s="520"/>
      <c r="H1" s="520"/>
      <c r="I1" s="520"/>
      <c r="J1" s="520"/>
      <c r="K1" s="520"/>
      <c r="L1" s="298" t="str">
        <f>+'Sponsor Budget'!L1</f>
        <v>updated : 7/10/2014</v>
      </c>
      <c r="M1" s="267"/>
      <c r="N1" s="263"/>
      <c r="O1" s="263"/>
      <c r="P1" s="263"/>
      <c r="Q1" s="263"/>
    </row>
    <row r="2" spans="1:18" s="89" customFormat="1" ht="15.75" customHeight="1" thickTop="1" thickBot="1">
      <c r="F2" s="90"/>
      <c r="G2"/>
      <c r="H2"/>
      <c r="I2"/>
      <c r="J2" s="91"/>
      <c r="K2" s="91"/>
      <c r="L2" s="172"/>
      <c r="M2" s="319"/>
      <c r="N2" s="319"/>
      <c r="O2" s="319"/>
      <c r="P2" s="319"/>
      <c r="Q2" s="319"/>
      <c r="R2" s="319"/>
    </row>
    <row r="3" spans="1:18" s="34" customFormat="1" ht="15.75" customHeight="1" thickBot="1">
      <c r="A3" s="70" t="s">
        <v>187</v>
      </c>
      <c r="B3" s="71"/>
      <c r="C3" s="71"/>
      <c r="D3" s="71"/>
      <c r="E3" s="71"/>
      <c r="F3" s="72"/>
      <c r="G3" s="258" t="s">
        <v>182</v>
      </c>
      <c r="H3" s="258" t="s">
        <v>0</v>
      </c>
      <c r="I3" s="114" t="s">
        <v>1</v>
      </c>
      <c r="J3" s="114" t="s">
        <v>2</v>
      </c>
      <c r="K3" s="114" t="s">
        <v>3</v>
      </c>
      <c r="L3" s="114" t="s">
        <v>13</v>
      </c>
      <c r="M3" s="319"/>
      <c r="N3" s="319"/>
      <c r="O3" s="319"/>
      <c r="P3" s="319"/>
      <c r="Q3" s="319"/>
      <c r="R3" s="319"/>
    </row>
    <row r="4" spans="1:18" s="34" customFormat="1" ht="15.75" customHeight="1" thickBot="1">
      <c r="A4" s="73" t="s">
        <v>189</v>
      </c>
      <c r="B4" s="74"/>
      <c r="C4" s="74"/>
      <c r="D4" s="74"/>
      <c r="E4" s="74"/>
      <c r="F4" s="75"/>
      <c r="G4" s="174"/>
      <c r="H4" s="174"/>
      <c r="I4" s="174"/>
      <c r="J4" s="174"/>
      <c r="K4" s="174"/>
      <c r="L4" s="174"/>
      <c r="M4" s="319"/>
      <c r="N4" s="319"/>
      <c r="O4" s="319"/>
      <c r="P4" s="319"/>
      <c r="Q4" s="319"/>
      <c r="R4" s="319"/>
    </row>
    <row r="5" spans="1:18" s="35" customFormat="1" ht="15.75" customHeight="1" thickBot="1">
      <c r="A5" s="108" t="s">
        <v>40</v>
      </c>
      <c r="B5" s="109" t="s">
        <v>52</v>
      </c>
      <c r="C5" s="109" t="s">
        <v>53</v>
      </c>
      <c r="D5" s="110" t="s">
        <v>38</v>
      </c>
      <c r="E5" s="111"/>
      <c r="F5" s="112"/>
      <c r="G5" s="175"/>
      <c r="H5" s="175"/>
      <c r="I5" s="175"/>
      <c r="J5" s="175"/>
      <c r="K5" s="175"/>
      <c r="L5" s="175"/>
      <c r="M5" s="319"/>
      <c r="N5" s="319"/>
      <c r="O5" s="319"/>
      <c r="P5" s="319"/>
      <c r="Q5" s="319"/>
      <c r="R5" s="319"/>
    </row>
    <row r="6" spans="1:18" ht="15.75" customHeight="1">
      <c r="A6" s="58" t="s">
        <v>168</v>
      </c>
      <c r="B6" s="199">
        <v>0</v>
      </c>
      <c r="C6" s="82">
        <v>0</v>
      </c>
      <c r="D6" s="84">
        <v>0</v>
      </c>
      <c r="E6" s="88"/>
      <c r="F6" s="76" t="s">
        <v>4</v>
      </c>
      <c r="G6" s="6">
        <f>ROUND(B6*C6*D6,0)</f>
        <v>0</v>
      </c>
      <c r="H6" s="130">
        <f>ROUND(G6*1.04,0)</f>
        <v>0</v>
      </c>
      <c r="I6" s="130">
        <f>ROUND(H6*1.04,0)</f>
        <v>0</v>
      </c>
      <c r="J6" s="130">
        <f>ROUND(I6*1.04,0)</f>
        <v>0</v>
      </c>
      <c r="K6" s="130">
        <f>ROUND(J6*1.04,0)</f>
        <v>0</v>
      </c>
      <c r="L6" s="15">
        <f t="shared" ref="L6:L27" si="0">SUM(G6:K6)</f>
        <v>0</v>
      </c>
      <c r="M6" s="488" t="s">
        <v>334</v>
      </c>
      <c r="N6" s="489"/>
      <c r="O6" s="489"/>
      <c r="P6" s="489"/>
      <c r="Q6" s="489"/>
      <c r="R6" s="490"/>
    </row>
    <row r="7" spans="1:18" ht="15.75" customHeight="1">
      <c r="A7" s="58"/>
      <c r="B7" s="63"/>
      <c r="C7" s="64"/>
      <c r="D7" s="85"/>
      <c r="E7" s="86" t="s">
        <v>205</v>
      </c>
      <c r="F7" s="222">
        <v>0.26900000000000002</v>
      </c>
      <c r="G7" s="6">
        <f t="shared" ref="G7:K7" si="1">ROUND(G6*$F7,0)</f>
        <v>0</v>
      </c>
      <c r="H7" s="130">
        <f t="shared" ref="H7:I7" si="2">ROUND(H6*$F7,0)</f>
        <v>0</v>
      </c>
      <c r="I7" s="130">
        <f t="shared" si="2"/>
        <v>0</v>
      </c>
      <c r="J7" s="130">
        <f t="shared" si="1"/>
        <v>0</v>
      </c>
      <c r="K7" s="130">
        <f t="shared" si="1"/>
        <v>0</v>
      </c>
      <c r="L7" s="7">
        <f t="shared" si="0"/>
        <v>0</v>
      </c>
      <c r="M7" s="491"/>
      <c r="N7" s="492"/>
      <c r="O7" s="492"/>
      <c r="P7" s="492"/>
      <c r="Q7" s="492"/>
      <c r="R7" s="493"/>
    </row>
    <row r="8" spans="1:18" ht="15.75" customHeight="1" thickBot="1">
      <c r="A8" s="58" t="s">
        <v>168</v>
      </c>
      <c r="B8" s="200">
        <v>0</v>
      </c>
      <c r="C8" s="65">
        <v>0</v>
      </c>
      <c r="D8" s="85">
        <v>0</v>
      </c>
      <c r="E8" s="87"/>
      <c r="F8" s="77" t="s">
        <v>4</v>
      </c>
      <c r="G8" s="6">
        <f>ROUND(B8*C8*D8,0)</f>
        <v>0</v>
      </c>
      <c r="H8" s="130">
        <f>ROUND(G8*1.04,0)</f>
        <v>0</v>
      </c>
      <c r="I8" s="130">
        <f>ROUND(H8*1.04,0)</f>
        <v>0</v>
      </c>
      <c r="J8" s="130">
        <f>ROUND(I8*1.04,0)</f>
        <v>0</v>
      </c>
      <c r="K8" s="130">
        <f>ROUND(J8*1.04,0)</f>
        <v>0</v>
      </c>
      <c r="L8" s="7">
        <f t="shared" si="0"/>
        <v>0</v>
      </c>
      <c r="M8" s="494"/>
      <c r="N8" s="495"/>
      <c r="O8" s="495"/>
      <c r="P8" s="495"/>
      <c r="Q8" s="495"/>
      <c r="R8" s="496"/>
    </row>
    <row r="9" spans="1:18" ht="15.75" customHeight="1">
      <c r="A9" s="58"/>
      <c r="B9" s="63"/>
      <c r="C9" s="64"/>
      <c r="D9" s="85"/>
      <c r="E9" s="86" t="s">
        <v>205</v>
      </c>
      <c r="F9" s="222">
        <v>0.26900000000000002</v>
      </c>
      <c r="G9" s="6">
        <f t="shared" ref="G9:K9" si="3">ROUND(G8*$F9,0)</f>
        <v>0</v>
      </c>
      <c r="H9" s="130">
        <f t="shared" ref="H9:I9" si="4">ROUND(H8*$F9,0)</f>
        <v>0</v>
      </c>
      <c r="I9" s="130">
        <f t="shared" si="4"/>
        <v>0</v>
      </c>
      <c r="J9" s="130">
        <f t="shared" si="3"/>
        <v>0</v>
      </c>
      <c r="K9" s="130">
        <f t="shared" si="3"/>
        <v>0</v>
      </c>
      <c r="L9" s="7">
        <f t="shared" si="0"/>
        <v>0</v>
      </c>
      <c r="M9" s="176"/>
    </row>
    <row r="10" spans="1:18" ht="13.5" customHeight="1">
      <c r="A10" s="58" t="s">
        <v>168</v>
      </c>
      <c r="B10" s="200">
        <v>0</v>
      </c>
      <c r="C10" s="65">
        <v>0</v>
      </c>
      <c r="D10" s="85">
        <v>0</v>
      </c>
      <c r="E10" s="87"/>
      <c r="F10" s="77" t="s">
        <v>4</v>
      </c>
      <c r="G10" s="6">
        <f>ROUND(B10*C10*D10,0)</f>
        <v>0</v>
      </c>
      <c r="H10" s="130">
        <f>ROUND(G10*1.04,0)</f>
        <v>0</v>
      </c>
      <c r="I10" s="130">
        <f>ROUND(H10*1.04,0)</f>
        <v>0</v>
      </c>
      <c r="J10" s="130">
        <f>ROUND(I10*1.04,0)</f>
        <v>0</v>
      </c>
      <c r="K10" s="130">
        <f>ROUND(J10*1.04,0)</f>
        <v>0</v>
      </c>
      <c r="L10" s="7">
        <f t="shared" si="0"/>
        <v>0</v>
      </c>
      <c r="M10" s="291"/>
      <c r="N10" s="292"/>
      <c r="O10" s="292"/>
      <c r="P10" s="292"/>
      <c r="Q10" s="292"/>
      <c r="R10" s="292"/>
    </row>
    <row r="11" spans="1:18" ht="15.75" customHeight="1">
      <c r="A11" s="58"/>
      <c r="B11" s="63"/>
      <c r="C11" s="64"/>
      <c r="D11" s="85"/>
      <c r="E11" s="86" t="s">
        <v>205</v>
      </c>
      <c r="F11" s="222">
        <v>0.26900000000000002</v>
      </c>
      <c r="G11" s="6">
        <f t="shared" ref="G11:K11" si="5">ROUND(G10*$F11,0)</f>
        <v>0</v>
      </c>
      <c r="H11" s="130">
        <f t="shared" ref="H11:I11" si="6">ROUND(H10*$F11,0)</f>
        <v>0</v>
      </c>
      <c r="I11" s="130">
        <f t="shared" si="6"/>
        <v>0</v>
      </c>
      <c r="J11" s="130">
        <f t="shared" si="5"/>
        <v>0</v>
      </c>
      <c r="K11" s="130">
        <f t="shared" si="5"/>
        <v>0</v>
      </c>
      <c r="L11" s="7">
        <f t="shared" si="0"/>
        <v>0</v>
      </c>
      <c r="M11" s="291"/>
      <c r="N11" s="292"/>
      <c r="O11" s="292"/>
      <c r="P11" s="292"/>
      <c r="Q11" s="292"/>
      <c r="R11" s="292"/>
    </row>
    <row r="12" spans="1:18" ht="15.75" customHeight="1">
      <c r="A12" s="58" t="s">
        <v>168</v>
      </c>
      <c r="B12" s="200">
        <v>0</v>
      </c>
      <c r="C12" s="65">
        <v>0</v>
      </c>
      <c r="D12" s="85">
        <v>0</v>
      </c>
      <c r="E12" s="87"/>
      <c r="F12" s="77" t="s">
        <v>4</v>
      </c>
      <c r="G12" s="6">
        <f>ROUND(B12*C12*D12,0)</f>
        <v>0</v>
      </c>
      <c r="H12" s="130">
        <f>ROUND(G12*1.04,0)</f>
        <v>0</v>
      </c>
      <c r="I12" s="130">
        <f>ROUND(H12*1.04,0)</f>
        <v>0</v>
      </c>
      <c r="J12" s="130">
        <f>ROUND(I12*1.04,0)</f>
        <v>0</v>
      </c>
      <c r="K12" s="130">
        <f>ROUND(J12*1.04,0)</f>
        <v>0</v>
      </c>
      <c r="L12" s="7">
        <f t="shared" si="0"/>
        <v>0</v>
      </c>
      <c r="M12" s="291"/>
      <c r="N12" s="292"/>
      <c r="O12" s="292"/>
      <c r="P12" s="292"/>
      <c r="Q12" s="292"/>
      <c r="R12" s="292"/>
    </row>
    <row r="13" spans="1:18" ht="15.75" customHeight="1">
      <c r="A13" s="58"/>
      <c r="B13" s="63"/>
      <c r="C13" s="64"/>
      <c r="D13" s="85"/>
      <c r="E13" s="86" t="s">
        <v>205</v>
      </c>
      <c r="F13" s="222">
        <v>0.26900000000000002</v>
      </c>
      <c r="G13" s="6">
        <f t="shared" ref="G13:K13" si="7">ROUND(G12*$F13,0)</f>
        <v>0</v>
      </c>
      <c r="H13" s="130">
        <f t="shared" ref="H13:I13" si="8">ROUND(H12*$F13,0)</f>
        <v>0</v>
      </c>
      <c r="I13" s="130">
        <f t="shared" si="8"/>
        <v>0</v>
      </c>
      <c r="J13" s="130">
        <f t="shared" si="7"/>
        <v>0</v>
      </c>
      <c r="K13" s="130">
        <f t="shared" si="7"/>
        <v>0</v>
      </c>
      <c r="L13" s="7">
        <f t="shared" si="0"/>
        <v>0</v>
      </c>
      <c r="M13" s="291"/>
      <c r="N13" s="292"/>
      <c r="O13" s="292"/>
      <c r="P13" s="292"/>
      <c r="Q13" s="292"/>
      <c r="R13" s="292"/>
    </row>
    <row r="14" spans="1:18" ht="15.75" customHeight="1">
      <c r="A14" s="58" t="s">
        <v>169</v>
      </c>
      <c r="B14" s="200">
        <v>0</v>
      </c>
      <c r="C14" s="65">
        <v>0</v>
      </c>
      <c r="D14" s="85">
        <v>0</v>
      </c>
      <c r="E14" s="87"/>
      <c r="F14" s="77" t="s">
        <v>4</v>
      </c>
      <c r="G14" s="6">
        <f>ROUND(B14*C14*D14,0)</f>
        <v>0</v>
      </c>
      <c r="H14" s="130">
        <f>ROUND(G14*1.04,0)</f>
        <v>0</v>
      </c>
      <c r="I14" s="130">
        <f>ROUND(H14*1.04,0)</f>
        <v>0</v>
      </c>
      <c r="J14" s="130">
        <f>ROUND(I14*1.04,0)</f>
        <v>0</v>
      </c>
      <c r="K14" s="130">
        <f>ROUND(J14*1.04,0)</f>
        <v>0</v>
      </c>
      <c r="L14" s="7">
        <f t="shared" si="0"/>
        <v>0</v>
      </c>
      <c r="M14" s="291"/>
      <c r="N14" s="292"/>
      <c r="O14" s="292"/>
      <c r="P14" s="292"/>
      <c r="Q14" s="292"/>
      <c r="R14" s="292"/>
    </row>
    <row r="15" spans="1:18" ht="15.75" customHeight="1">
      <c r="A15" s="58"/>
      <c r="B15" s="63"/>
      <c r="C15" s="64"/>
      <c r="D15" s="85"/>
      <c r="E15" s="86" t="s">
        <v>205</v>
      </c>
      <c r="F15" s="222">
        <v>0.29899999999999999</v>
      </c>
      <c r="G15" s="6">
        <f t="shared" ref="G15:K15" si="9">ROUND(G14*$F15,0)</f>
        <v>0</v>
      </c>
      <c r="H15" s="130">
        <f t="shared" ref="H15:I15" si="10">ROUND(H14*$F15,0)</f>
        <v>0</v>
      </c>
      <c r="I15" s="130">
        <f t="shared" si="10"/>
        <v>0</v>
      </c>
      <c r="J15" s="130">
        <f t="shared" si="9"/>
        <v>0</v>
      </c>
      <c r="K15" s="130">
        <f t="shared" si="9"/>
        <v>0</v>
      </c>
      <c r="L15" s="7">
        <f t="shared" si="0"/>
        <v>0</v>
      </c>
      <c r="M15" s="291"/>
      <c r="N15" s="292"/>
      <c r="O15" s="292"/>
      <c r="P15" s="292"/>
      <c r="Q15" s="292"/>
      <c r="R15" s="292"/>
    </row>
    <row r="16" spans="1:18" ht="15.75" customHeight="1">
      <c r="A16" s="58" t="s">
        <v>169</v>
      </c>
      <c r="B16" s="200">
        <v>0</v>
      </c>
      <c r="C16" s="65">
        <v>0</v>
      </c>
      <c r="D16" s="85">
        <v>0</v>
      </c>
      <c r="E16" s="87"/>
      <c r="F16" s="77" t="s">
        <v>4</v>
      </c>
      <c r="G16" s="6">
        <f>ROUND(B16*C16*D16,0)</f>
        <v>0</v>
      </c>
      <c r="H16" s="130">
        <f>ROUND(G16*1.04,0)</f>
        <v>0</v>
      </c>
      <c r="I16" s="130">
        <f>ROUND(H16*1.04,0)</f>
        <v>0</v>
      </c>
      <c r="J16" s="130">
        <f>ROUND(I16*1.04,0)</f>
        <v>0</v>
      </c>
      <c r="K16" s="130">
        <f>ROUND(J16*1.04,0)</f>
        <v>0</v>
      </c>
      <c r="L16" s="7">
        <f t="shared" si="0"/>
        <v>0</v>
      </c>
      <c r="M16" s="262"/>
      <c r="N16" s="263"/>
      <c r="O16" s="263"/>
      <c r="P16" s="263"/>
      <c r="Q16" s="263"/>
      <c r="R16" s="263"/>
    </row>
    <row r="17" spans="1:18" ht="15.75" customHeight="1">
      <c r="A17" s="58"/>
      <c r="B17" s="63"/>
      <c r="C17" s="64"/>
      <c r="D17" s="85"/>
      <c r="E17" s="86" t="s">
        <v>205</v>
      </c>
      <c r="F17" s="222">
        <v>0.29899999999999999</v>
      </c>
      <c r="G17" s="6">
        <f t="shared" ref="G17:K17" si="11">ROUND(G16*$F17,0)</f>
        <v>0</v>
      </c>
      <c r="H17" s="130">
        <f t="shared" ref="H17:I17" si="12">ROUND(H16*$F17,0)</f>
        <v>0</v>
      </c>
      <c r="I17" s="130">
        <f t="shared" si="12"/>
        <v>0</v>
      </c>
      <c r="J17" s="130">
        <f t="shared" si="11"/>
        <v>0</v>
      </c>
      <c r="K17" s="130">
        <f t="shared" si="11"/>
        <v>0</v>
      </c>
      <c r="L17" s="7">
        <f t="shared" si="0"/>
        <v>0</v>
      </c>
      <c r="M17" s="262"/>
      <c r="N17" s="263"/>
      <c r="O17" s="263"/>
      <c r="P17" s="263"/>
      <c r="Q17" s="263"/>
      <c r="R17" s="263"/>
    </row>
    <row r="18" spans="1:18" ht="15.75" customHeight="1">
      <c r="A18" s="92" t="s">
        <v>170</v>
      </c>
      <c r="B18" s="200">
        <v>0</v>
      </c>
      <c r="C18" s="65">
        <v>0</v>
      </c>
      <c r="D18" s="85">
        <v>0</v>
      </c>
      <c r="E18" s="87"/>
      <c r="F18" s="77" t="s">
        <v>4</v>
      </c>
      <c r="G18" s="6">
        <f>ROUND(B18*C18*D18,0)</f>
        <v>0</v>
      </c>
      <c r="H18" s="130">
        <f>ROUND(G18*1.04,0)</f>
        <v>0</v>
      </c>
      <c r="I18" s="130">
        <f>ROUND(H18*1.04,0)</f>
        <v>0</v>
      </c>
      <c r="J18" s="130">
        <f>ROUND(I18*1.04,0)</f>
        <v>0</v>
      </c>
      <c r="K18" s="130">
        <f>ROUND(J18*1.04,0)</f>
        <v>0</v>
      </c>
      <c r="L18" s="7">
        <f t="shared" si="0"/>
        <v>0</v>
      </c>
      <c r="M18" s="293"/>
      <c r="N18" s="294"/>
      <c r="O18" s="294"/>
      <c r="P18" s="294"/>
      <c r="Q18" s="294"/>
      <c r="R18" s="294"/>
    </row>
    <row r="19" spans="1:18" ht="15.75" customHeight="1" thickBot="1">
      <c r="A19" s="58"/>
      <c r="B19" s="63"/>
      <c r="C19" s="64"/>
      <c r="D19" s="85"/>
      <c r="E19" s="86" t="s">
        <v>205</v>
      </c>
      <c r="F19" s="221">
        <v>0.38800000000000001</v>
      </c>
      <c r="G19" s="6">
        <f t="shared" ref="G19:K19" si="13">ROUND(G18*$F19,0)</f>
        <v>0</v>
      </c>
      <c r="H19" s="130">
        <f t="shared" ref="H19:I19" si="14">ROUND(H18*$F19,0)</f>
        <v>0</v>
      </c>
      <c r="I19" s="130">
        <f t="shared" si="14"/>
        <v>0</v>
      </c>
      <c r="J19" s="130">
        <f t="shared" si="13"/>
        <v>0</v>
      </c>
      <c r="K19" s="130">
        <f t="shared" si="13"/>
        <v>0</v>
      </c>
      <c r="L19" s="13">
        <f t="shared" si="0"/>
        <v>0</v>
      </c>
      <c r="M19" s="293"/>
      <c r="N19" s="294"/>
      <c r="O19" s="294"/>
      <c r="P19" s="294"/>
      <c r="Q19" s="294"/>
      <c r="R19" s="294"/>
    </row>
    <row r="20" spans="1:18" ht="15.75" customHeight="1" thickBot="1">
      <c r="A20" s="67" t="s">
        <v>58</v>
      </c>
      <c r="B20" s="209"/>
      <c r="C20" s="210"/>
      <c r="D20" s="207">
        <v>0.5</v>
      </c>
      <c r="E20" s="269"/>
      <c r="F20" s="77" t="s">
        <v>4</v>
      </c>
      <c r="G20" s="20"/>
      <c r="H20" s="14">
        <f>ROUND(G20*1.04,0)</f>
        <v>0</v>
      </c>
      <c r="I20" s="14">
        <f>ROUND(H20*1.04,0)</f>
        <v>0</v>
      </c>
      <c r="J20" s="14">
        <f>ROUND(I20*1.04,0)</f>
        <v>0</v>
      </c>
      <c r="K20" s="14">
        <f>ROUND(J20*1.04,0)</f>
        <v>0</v>
      </c>
      <c r="L20" s="15">
        <f t="shared" si="0"/>
        <v>0</v>
      </c>
    </row>
    <row r="21" spans="1:18" ht="21.75" customHeight="1">
      <c r="A21" s="220" t="s">
        <v>198</v>
      </c>
      <c r="B21" s="211"/>
      <c r="C21" s="212"/>
      <c r="D21" s="217"/>
      <c r="E21" s="29"/>
      <c r="F21" s="79" t="s">
        <v>6</v>
      </c>
      <c r="G21" s="6"/>
      <c r="H21" s="128">
        <f>ROUND(G21*1.07,0)</f>
        <v>0</v>
      </c>
      <c r="I21" s="128">
        <f>ROUND(H21*1.07,0)</f>
        <v>0</v>
      </c>
      <c r="J21" s="128">
        <f>ROUND(I21*1.07,0)</f>
        <v>0</v>
      </c>
      <c r="K21" s="128">
        <f>ROUND(J21*1.07,0)</f>
        <v>0</v>
      </c>
      <c r="L21" s="7">
        <f t="shared" si="0"/>
        <v>0</v>
      </c>
      <c r="M21" s="488" t="s">
        <v>338</v>
      </c>
      <c r="N21" s="489"/>
      <c r="O21" s="489"/>
      <c r="P21" s="489"/>
      <c r="Q21" s="489"/>
      <c r="R21" s="490"/>
    </row>
    <row r="22" spans="1:18" ht="15.75" customHeight="1">
      <c r="A22" s="178"/>
      <c r="B22" s="211"/>
      <c r="C22" s="212"/>
      <c r="D22" s="218"/>
      <c r="E22" s="29"/>
      <c r="F22" s="79" t="s">
        <v>7</v>
      </c>
      <c r="G22" s="6"/>
      <c r="H22" s="128">
        <f>ROUND(G22*1.04,0)</f>
        <v>0</v>
      </c>
      <c r="I22" s="128">
        <f>ROUND(H22*1.04,0)</f>
        <v>0</v>
      </c>
      <c r="J22" s="128">
        <f>ROUND(I22*1.04,0)</f>
        <v>0</v>
      </c>
      <c r="K22" s="128">
        <f>ROUND(J22*1.04,0)</f>
        <v>0</v>
      </c>
      <c r="L22" s="7">
        <f t="shared" si="0"/>
        <v>0</v>
      </c>
      <c r="M22" s="491"/>
      <c r="N22" s="492"/>
      <c r="O22" s="492"/>
      <c r="P22" s="492"/>
      <c r="Q22" s="492"/>
      <c r="R22" s="493"/>
    </row>
    <row r="23" spans="1:18" ht="15.75" customHeight="1" thickBot="1">
      <c r="A23" s="68"/>
      <c r="B23" s="213"/>
      <c r="C23" s="214"/>
      <c r="D23" s="219"/>
      <c r="E23" s="66"/>
      <c r="F23" s="80">
        <v>1.4999999999999999E-2</v>
      </c>
      <c r="G23" s="6">
        <f>ROUND(SUM(G20*F23),0)</f>
        <v>0</v>
      </c>
      <c r="H23" s="6">
        <f>ROUND(SUM(H20*$F$23),0)</f>
        <v>0</v>
      </c>
      <c r="I23" s="6">
        <f>ROUND(SUM(I20*$F$23),0)</f>
        <v>0</v>
      </c>
      <c r="J23" s="6">
        <f>ROUND(SUM(J20*$F$23),0)</f>
        <v>0</v>
      </c>
      <c r="K23" s="6">
        <f>ROUND(SUM(K20*$F$23),0)</f>
        <v>0</v>
      </c>
      <c r="L23" s="7">
        <f t="shared" si="0"/>
        <v>0</v>
      </c>
      <c r="M23" s="494"/>
      <c r="N23" s="495"/>
      <c r="O23" s="495"/>
      <c r="P23" s="495"/>
      <c r="Q23" s="495"/>
      <c r="R23" s="496"/>
    </row>
    <row r="24" spans="1:18" ht="15.75" customHeight="1">
      <c r="A24" s="83" t="s">
        <v>57</v>
      </c>
      <c r="B24" s="209"/>
      <c r="C24" s="210"/>
      <c r="D24" s="208">
        <v>0.5</v>
      </c>
      <c r="E24" s="62"/>
      <c r="F24" s="78" t="s">
        <v>4</v>
      </c>
      <c r="G24" s="20"/>
      <c r="H24" s="14">
        <f>ROUND(G24*1.04,0)</f>
        <v>0</v>
      </c>
      <c r="I24" s="14">
        <f>ROUND(H24*1.04,0)</f>
        <v>0</v>
      </c>
      <c r="J24" s="14">
        <f>ROUND(I24*1.04,0)</f>
        <v>0</v>
      </c>
      <c r="K24" s="14">
        <f>ROUND(J24*1.04,0)</f>
        <v>0</v>
      </c>
      <c r="L24" s="15">
        <f t="shared" si="0"/>
        <v>0</v>
      </c>
    </row>
    <row r="25" spans="1:18" ht="15.75" customHeight="1">
      <c r="A25" s="220" t="s">
        <v>198</v>
      </c>
      <c r="B25" s="211"/>
      <c r="C25" s="212"/>
      <c r="D25" s="217"/>
      <c r="E25" s="29"/>
      <c r="F25" s="79" t="s">
        <v>6</v>
      </c>
      <c r="G25" s="6"/>
      <c r="H25" s="128">
        <f>ROUND(G25*1.07,0)</f>
        <v>0</v>
      </c>
      <c r="I25" s="128">
        <f>ROUND(H25*1.07,0)</f>
        <v>0</v>
      </c>
      <c r="J25" s="128">
        <f>ROUND(I25*1.07,0)</f>
        <v>0</v>
      </c>
      <c r="K25" s="128">
        <f>ROUND(J25*1.07,0)</f>
        <v>0</v>
      </c>
      <c r="L25" s="7">
        <f t="shared" si="0"/>
        <v>0</v>
      </c>
      <c r="M25" s="288"/>
      <c r="N25" s="289"/>
      <c r="O25" s="289"/>
      <c r="P25" s="289"/>
      <c r="Q25" s="289"/>
      <c r="R25" s="289"/>
    </row>
    <row r="26" spans="1:18" ht="15.75" customHeight="1">
      <c r="A26" s="178"/>
      <c r="B26" s="211"/>
      <c r="C26" s="212"/>
      <c r="D26" s="218"/>
      <c r="E26" s="29"/>
      <c r="F26" s="79" t="s">
        <v>7</v>
      </c>
      <c r="G26" s="6"/>
      <c r="H26" s="128">
        <f>ROUND(G26*1.04,0)</f>
        <v>0</v>
      </c>
      <c r="I26" s="128">
        <f>ROUND(H26*1.04,0)</f>
        <v>0</v>
      </c>
      <c r="J26" s="128">
        <f>ROUND(I26*1.04,0)</f>
        <v>0</v>
      </c>
      <c r="K26" s="128">
        <f>ROUND(J26*1.04,0)</f>
        <v>0</v>
      </c>
      <c r="L26" s="7">
        <f t="shared" si="0"/>
        <v>0</v>
      </c>
      <c r="M26" s="288"/>
      <c r="N26" s="289"/>
      <c r="O26" s="289"/>
      <c r="P26" s="289"/>
      <c r="Q26" s="289"/>
      <c r="R26" s="289"/>
    </row>
    <row r="27" spans="1:18" ht="15.75" customHeight="1" thickBot="1">
      <c r="A27" s="12"/>
      <c r="B27" s="215"/>
      <c r="C27" s="216"/>
      <c r="D27" s="219"/>
      <c r="E27" s="49"/>
      <c r="F27" s="81">
        <v>1.4999999999999999E-2</v>
      </c>
      <c r="G27" s="6">
        <f>ROUND(G24*F27,0)</f>
        <v>0</v>
      </c>
      <c r="H27" s="6">
        <f>ROUND(H24*$F$27,0)</f>
        <v>0</v>
      </c>
      <c r="I27" s="6">
        <f>ROUND(I24*$F$27,0)</f>
        <v>0</v>
      </c>
      <c r="J27" s="6">
        <f>ROUND(J24*$F$27,0)</f>
        <v>0</v>
      </c>
      <c r="K27" s="6">
        <f>ROUND(K24*$F$27,0)</f>
        <v>0</v>
      </c>
      <c r="L27" s="7">
        <f t="shared" si="0"/>
        <v>0</v>
      </c>
      <c r="M27" s="288"/>
      <c r="N27" s="289"/>
      <c r="O27" s="289"/>
      <c r="P27" s="289"/>
      <c r="Q27" s="289"/>
      <c r="R27" s="289"/>
    </row>
    <row r="28" spans="1:18" ht="15.75" customHeight="1" thickBot="1">
      <c r="A28" s="115" t="s">
        <v>203</v>
      </c>
      <c r="B28" s="116" t="s">
        <v>54</v>
      </c>
      <c r="C28" s="116" t="s">
        <v>59</v>
      </c>
      <c r="D28" s="117" t="s">
        <v>55</v>
      </c>
      <c r="E28" s="118"/>
      <c r="F28" s="119"/>
      <c r="G28" s="120"/>
      <c r="H28" s="121"/>
      <c r="I28" s="121"/>
      <c r="J28" s="121"/>
      <c r="K28" s="121"/>
      <c r="L28" s="122"/>
      <c r="N28" s="130"/>
    </row>
    <row r="29" spans="1:18" ht="15.75" customHeight="1">
      <c r="A29" s="56" t="s">
        <v>68</v>
      </c>
      <c r="B29" s="95">
        <v>0</v>
      </c>
      <c r="C29" s="60">
        <v>0</v>
      </c>
      <c r="D29" s="60">
        <v>0</v>
      </c>
      <c r="E29" s="50"/>
      <c r="F29" s="69" t="s">
        <v>8</v>
      </c>
      <c r="G29" s="5">
        <f>ROUND((B29*C29*D29),0)</f>
        <v>0</v>
      </c>
      <c r="H29" s="6">
        <f>ROUND(G29*1.04,0)</f>
        <v>0</v>
      </c>
      <c r="I29" s="6">
        <f>ROUND(H29*1.04,0)</f>
        <v>0</v>
      </c>
      <c r="J29" s="6">
        <f>ROUND(I29*1.04,0)</f>
        <v>0</v>
      </c>
      <c r="K29" s="6">
        <f>ROUND(J29*1.04,0)</f>
        <v>0</v>
      </c>
      <c r="L29" s="7">
        <f t="shared" ref="L29:L38" si="15">SUM(G29:K29)</f>
        <v>0</v>
      </c>
      <c r="M29" s="488" t="s">
        <v>349</v>
      </c>
      <c r="N29" s="489"/>
      <c r="O29" s="489"/>
      <c r="P29" s="489"/>
      <c r="Q29" s="489"/>
      <c r="R29" s="490"/>
    </row>
    <row r="30" spans="1:18" ht="15.75" customHeight="1">
      <c r="A30" s="19"/>
      <c r="B30" s="93"/>
      <c r="C30" s="59"/>
      <c r="D30" s="59"/>
      <c r="E30" s="48" t="s">
        <v>5</v>
      </c>
      <c r="F30" s="223">
        <v>2.1999999999999999E-2</v>
      </c>
      <c r="G30" s="5">
        <f t="shared" ref="G30:K30" si="16">ROUND(G29*$F30,0)</f>
        <v>0</v>
      </c>
      <c r="H30" s="6">
        <f t="shared" ref="H30:I30" si="17">ROUND(H29*$F30,0)</f>
        <v>0</v>
      </c>
      <c r="I30" s="6">
        <f t="shared" si="17"/>
        <v>0</v>
      </c>
      <c r="J30" s="6">
        <f t="shared" si="16"/>
        <v>0</v>
      </c>
      <c r="K30" s="6">
        <f t="shared" si="16"/>
        <v>0</v>
      </c>
      <c r="L30" s="7">
        <f t="shared" si="15"/>
        <v>0</v>
      </c>
      <c r="M30" s="491"/>
      <c r="N30" s="492"/>
      <c r="O30" s="492"/>
      <c r="P30" s="492"/>
      <c r="Q30" s="492"/>
      <c r="R30" s="493"/>
    </row>
    <row r="31" spans="1:18" ht="15.75" customHeight="1" thickBot="1">
      <c r="A31" s="19" t="s">
        <v>67</v>
      </c>
      <c r="B31" s="93">
        <v>0</v>
      </c>
      <c r="C31" s="59">
        <v>0</v>
      </c>
      <c r="D31" s="59">
        <v>0</v>
      </c>
      <c r="E31" s="47"/>
      <c r="F31" s="54" t="s">
        <v>8</v>
      </c>
      <c r="G31" s="5">
        <f>ROUND(B31*C31*D31,0)</f>
        <v>0</v>
      </c>
      <c r="H31" s="6">
        <f>ROUND(G31*1.04,0)</f>
        <v>0</v>
      </c>
      <c r="I31" s="6">
        <f>ROUND(H31*1.04,0)</f>
        <v>0</v>
      </c>
      <c r="J31" s="6">
        <f>ROUND(I31*1.04,0)</f>
        <v>0</v>
      </c>
      <c r="K31" s="6">
        <f>ROUND(J31*1.04,0)</f>
        <v>0</v>
      </c>
      <c r="L31" s="7">
        <f t="shared" si="15"/>
        <v>0</v>
      </c>
      <c r="M31" s="494"/>
      <c r="N31" s="495"/>
      <c r="O31" s="495"/>
      <c r="P31" s="495"/>
      <c r="Q31" s="495"/>
      <c r="R31" s="496"/>
    </row>
    <row r="32" spans="1:18" ht="15.75" customHeight="1">
      <c r="A32" s="19"/>
      <c r="B32" s="93"/>
      <c r="C32" s="59"/>
      <c r="D32" s="59"/>
      <c r="E32" s="48" t="s">
        <v>5</v>
      </c>
      <c r="F32" s="224">
        <v>9.8000000000000004E-2</v>
      </c>
      <c r="G32" s="5">
        <f t="shared" ref="G32:K32" si="18">ROUND(G31*$F32,0)</f>
        <v>0</v>
      </c>
      <c r="H32" s="6">
        <f t="shared" ref="H32:I32" si="19">ROUND(H31*$F32,0)</f>
        <v>0</v>
      </c>
      <c r="I32" s="6">
        <f t="shared" si="19"/>
        <v>0</v>
      </c>
      <c r="J32" s="6">
        <f t="shared" si="18"/>
        <v>0</v>
      </c>
      <c r="K32" s="6">
        <f t="shared" si="18"/>
        <v>0</v>
      </c>
      <c r="L32" s="7">
        <f t="shared" si="15"/>
        <v>0</v>
      </c>
    </row>
    <row r="33" spans="1:18" ht="15.75" customHeight="1">
      <c r="A33" s="19" t="s">
        <v>184</v>
      </c>
      <c r="B33" s="93">
        <v>0</v>
      </c>
      <c r="C33" s="59">
        <v>10</v>
      </c>
      <c r="D33" s="59">
        <v>10</v>
      </c>
      <c r="E33" s="47"/>
      <c r="F33" s="54" t="s">
        <v>8</v>
      </c>
      <c r="G33" s="5">
        <f>ROUND((B33*C33*D33),0)</f>
        <v>0</v>
      </c>
      <c r="H33" s="6">
        <f>ROUND(G33*1.04,0)</f>
        <v>0</v>
      </c>
      <c r="I33" s="6">
        <f>ROUND(H33*1.04,0)</f>
        <v>0</v>
      </c>
      <c r="J33" s="6">
        <f>ROUND(I33*1.04,0)</f>
        <v>0</v>
      </c>
      <c r="K33" s="6">
        <f>ROUND(J33*1.04,0)</f>
        <v>0</v>
      </c>
      <c r="L33" s="7">
        <f t="shared" si="15"/>
        <v>0</v>
      </c>
    </row>
    <row r="34" spans="1:18" ht="15.75" customHeight="1">
      <c r="A34" s="201"/>
      <c r="B34" s="93"/>
      <c r="C34" s="59"/>
      <c r="D34" s="59"/>
      <c r="E34" s="48" t="s">
        <v>5</v>
      </c>
      <c r="F34" s="224">
        <v>9.8000000000000004E-2</v>
      </c>
      <c r="G34" s="5">
        <f t="shared" ref="G34:K34" si="20">ROUND(G33*$F34,0)</f>
        <v>0</v>
      </c>
      <c r="H34" s="6">
        <f t="shared" ref="H34:I34" si="21">ROUND(H33*$F34,0)</f>
        <v>0</v>
      </c>
      <c r="I34" s="6">
        <f t="shared" si="21"/>
        <v>0</v>
      </c>
      <c r="J34" s="6">
        <f t="shared" si="20"/>
        <v>0</v>
      </c>
      <c r="K34" s="6">
        <f t="shared" si="20"/>
        <v>0</v>
      </c>
      <c r="L34" s="7">
        <f t="shared" si="15"/>
        <v>0</v>
      </c>
      <c r="M34"/>
      <c r="N34"/>
      <c r="O34"/>
      <c r="P34"/>
      <c r="Q34"/>
      <c r="R34"/>
    </row>
    <row r="35" spans="1:18" ht="15.75" customHeight="1">
      <c r="A35" s="19" t="s">
        <v>65</v>
      </c>
      <c r="B35" s="93">
        <v>0</v>
      </c>
      <c r="C35" s="59">
        <v>10</v>
      </c>
      <c r="D35" s="59">
        <v>10</v>
      </c>
      <c r="E35" s="47"/>
      <c r="F35" s="55" t="s">
        <v>8</v>
      </c>
      <c r="G35" s="5">
        <f>ROUND((B35*C35*D35),0)</f>
        <v>0</v>
      </c>
      <c r="H35" s="6">
        <f>ROUND(G35*1.04,0)</f>
        <v>0</v>
      </c>
      <c r="I35" s="6">
        <f>ROUND(H35*1.04,0)</f>
        <v>0</v>
      </c>
      <c r="J35" s="6">
        <f>ROUND(I35*1.04,0)</f>
        <v>0</v>
      </c>
      <c r="K35" s="6">
        <f>ROUND(J35*1.04,0)</f>
        <v>0</v>
      </c>
      <c r="L35" s="7">
        <f t="shared" si="15"/>
        <v>0</v>
      </c>
      <c r="M35"/>
      <c r="N35"/>
      <c r="O35"/>
      <c r="P35"/>
      <c r="Q35"/>
      <c r="R35"/>
    </row>
    <row r="36" spans="1:18" ht="15.75" customHeight="1">
      <c r="A36" s="201"/>
      <c r="B36" s="93"/>
      <c r="C36" s="57"/>
      <c r="D36" s="57"/>
      <c r="E36" s="48" t="s">
        <v>5</v>
      </c>
      <c r="F36" s="224">
        <v>0.19</v>
      </c>
      <c r="G36" s="5">
        <f t="shared" ref="G36:K36" si="22">ROUND(G35*$F36,0)</f>
        <v>0</v>
      </c>
      <c r="H36" s="6">
        <f t="shared" ref="H36:I36" si="23">ROUND(H35*$F36,0)</f>
        <v>0</v>
      </c>
      <c r="I36" s="6">
        <f t="shared" si="23"/>
        <v>0</v>
      </c>
      <c r="J36" s="6">
        <f t="shared" si="22"/>
        <v>0</v>
      </c>
      <c r="K36" s="6">
        <f t="shared" si="22"/>
        <v>0</v>
      </c>
      <c r="L36" s="7">
        <f t="shared" si="15"/>
        <v>0</v>
      </c>
      <c r="M36"/>
      <c r="N36"/>
      <c r="O36"/>
      <c r="P36"/>
      <c r="Q36"/>
      <c r="R36"/>
    </row>
    <row r="37" spans="1:18" ht="15.75" customHeight="1">
      <c r="A37" s="19" t="s">
        <v>183</v>
      </c>
      <c r="B37" s="93">
        <v>0</v>
      </c>
      <c r="C37" s="59">
        <v>10</v>
      </c>
      <c r="D37" s="59">
        <v>10</v>
      </c>
      <c r="E37" s="48"/>
      <c r="F37" s="54" t="s">
        <v>8</v>
      </c>
      <c r="G37" s="5">
        <f>ROUND((B37*C37*D37),0)</f>
        <v>0</v>
      </c>
      <c r="H37" s="6">
        <f>ROUND(G37*1.04,0)</f>
        <v>0</v>
      </c>
      <c r="I37" s="6">
        <f>ROUND(H37*1.04,0)</f>
        <v>0</v>
      </c>
      <c r="J37" s="6">
        <f>ROUND(I37*1.04,0)</f>
        <v>0</v>
      </c>
      <c r="K37" s="6">
        <f>ROUND(J37*1.04,0)</f>
        <v>0</v>
      </c>
      <c r="L37" s="7">
        <f t="shared" si="15"/>
        <v>0</v>
      </c>
    </row>
    <row r="38" spans="1:18" ht="15.75" customHeight="1" thickBot="1">
      <c r="A38" s="17"/>
      <c r="B38" s="96"/>
      <c r="C38" s="61"/>
      <c r="D38" s="61"/>
      <c r="E38" s="49" t="s">
        <v>5</v>
      </c>
      <c r="F38" s="225">
        <v>0.63200000000000001</v>
      </c>
      <c r="G38" s="259">
        <f t="shared" ref="G38:K38" si="24">ROUND(G37*$F38,0)</f>
        <v>0</v>
      </c>
      <c r="H38" s="6">
        <f t="shared" ref="H38:I38" si="25">ROUND(H37*$F38,0)</f>
        <v>0</v>
      </c>
      <c r="I38" s="6">
        <f t="shared" si="25"/>
        <v>0</v>
      </c>
      <c r="J38" s="6">
        <f t="shared" si="24"/>
        <v>0</v>
      </c>
      <c r="K38" s="6">
        <f t="shared" si="24"/>
        <v>0</v>
      </c>
      <c r="L38" s="13">
        <f t="shared" si="15"/>
        <v>0</v>
      </c>
    </row>
    <row r="39" spans="1:18" ht="15.75" customHeight="1">
      <c r="A39" s="21"/>
      <c r="B39" s="24"/>
      <c r="C39" s="24"/>
      <c r="D39" s="24"/>
      <c r="E39" s="24"/>
      <c r="F39" s="32" t="s">
        <v>25</v>
      </c>
      <c r="G39" s="202">
        <f t="shared" ref="G39:L39" si="26">ROUND(SUM(G6+G8+G10+G12+G14+G16+G18+G20+G24),0)</f>
        <v>0</v>
      </c>
      <c r="H39" s="202">
        <f t="shared" ref="H39" si="27">ROUND(SUM(H6+H8+H10+H12+H14+H16+H18+H20+H24),0)</f>
        <v>0</v>
      </c>
      <c r="I39" s="202">
        <f t="shared" si="26"/>
        <v>0</v>
      </c>
      <c r="J39" s="202">
        <f t="shared" si="26"/>
        <v>0</v>
      </c>
      <c r="K39" s="202">
        <f t="shared" si="26"/>
        <v>0</v>
      </c>
      <c r="L39" s="202">
        <f t="shared" si="26"/>
        <v>0</v>
      </c>
    </row>
    <row r="40" spans="1:18" ht="15.75" customHeight="1">
      <c r="A40" s="21"/>
      <c r="B40" s="24"/>
      <c r="C40" s="24"/>
      <c r="D40" s="24"/>
      <c r="E40" s="24"/>
      <c r="F40" s="32" t="s">
        <v>26</v>
      </c>
      <c r="G40" s="203">
        <f>ROUND(SUM(G29+G31+G33+G35+G37),0)</f>
        <v>0</v>
      </c>
      <c r="H40" s="203">
        <f>ROUND(SUM(H29+H31+H33+H35+H37),0)</f>
        <v>0</v>
      </c>
      <c r="I40" s="203">
        <f>ROUND(SUM(I29++I31+I33+I35+I37),0)</f>
        <v>0</v>
      </c>
      <c r="J40" s="203">
        <f>ROUND(SUM(J29+J31+J33+J35+J37),0)</f>
        <v>0</v>
      </c>
      <c r="K40" s="203">
        <f>ROUND(SUM(K29++K31+K33+K35+K37),0)</f>
        <v>0</v>
      </c>
      <c r="L40" s="203">
        <f>ROUND(SUM(L29+L31+L33+L35+L37),0)</f>
        <v>0</v>
      </c>
    </row>
    <row r="41" spans="1:18" ht="15.75" customHeight="1" thickBot="1">
      <c r="A41" s="37"/>
      <c r="B41" s="45"/>
      <c r="C41" s="45"/>
      <c r="D41" s="45"/>
      <c r="E41" s="45"/>
      <c r="F41" s="33" t="s">
        <v>23</v>
      </c>
      <c r="G41" s="204">
        <f t="shared" ref="G41:L41" si="28">SUM(G39:G40)</f>
        <v>0</v>
      </c>
      <c r="H41" s="204">
        <f t="shared" ref="H41" si="29">SUM(H39:H40)</f>
        <v>0</v>
      </c>
      <c r="I41" s="204">
        <f t="shared" si="28"/>
        <v>0</v>
      </c>
      <c r="J41" s="204">
        <f t="shared" si="28"/>
        <v>0</v>
      </c>
      <c r="K41" s="204">
        <f t="shared" si="28"/>
        <v>0</v>
      </c>
      <c r="L41" s="204">
        <f t="shared" si="28"/>
        <v>0</v>
      </c>
    </row>
    <row r="42" spans="1:18" ht="15.75" customHeight="1" thickBot="1">
      <c r="A42" s="179" t="s">
        <v>46</v>
      </c>
      <c r="B42" s="180"/>
      <c r="C42" s="180"/>
      <c r="D42" s="180"/>
      <c r="E42" s="180"/>
      <c r="F42" s="181"/>
      <c r="G42" s="182"/>
      <c r="H42" s="182"/>
      <c r="I42" s="183"/>
      <c r="J42" s="183"/>
      <c r="K42" s="183"/>
      <c r="L42" s="184"/>
    </row>
    <row r="43" spans="1:18" ht="15.75" customHeight="1" thickBot="1">
      <c r="A43" s="27"/>
      <c r="B43" s="46"/>
      <c r="C43" s="46"/>
      <c r="D43" s="46"/>
      <c r="E43" s="46"/>
      <c r="F43" s="28" t="s">
        <v>35</v>
      </c>
      <c r="G43" s="205">
        <f t="shared" ref="G43:L43" si="30">ROUND(SUM(G7+G9+G11+G13+G15+G17+G19+G21+G22+G23+G25+G26+G27+G30+G32+G34+G36+G38),0)</f>
        <v>0</v>
      </c>
      <c r="H43" s="205">
        <f t="shared" ref="H43" si="31">ROUND(SUM(H7+H9+H11+H13+H15+H17+H19+H21+H22+H23+H25+H26+H27+H30+H32+H34+H36+H38),0)</f>
        <v>0</v>
      </c>
      <c r="I43" s="205">
        <f t="shared" si="30"/>
        <v>0</v>
      </c>
      <c r="J43" s="205">
        <f t="shared" si="30"/>
        <v>0</v>
      </c>
      <c r="K43" s="205">
        <f t="shared" si="30"/>
        <v>0</v>
      </c>
      <c r="L43" s="205">
        <f t="shared" si="30"/>
        <v>0</v>
      </c>
    </row>
    <row r="44" spans="1:18" ht="15.75" customHeight="1" thickBot="1">
      <c r="A44" s="19"/>
      <c r="B44" s="44"/>
      <c r="C44" s="44"/>
      <c r="D44" s="44"/>
      <c r="E44" s="44"/>
      <c r="F44" s="32" t="s">
        <v>34</v>
      </c>
      <c r="G44" s="205">
        <f t="shared" ref="G44:L44" si="32">SUM(G41+G43)</f>
        <v>0</v>
      </c>
      <c r="H44" s="205">
        <f t="shared" ref="H44" si="33">SUM(H41+H43)</f>
        <v>0</v>
      </c>
      <c r="I44" s="205">
        <f t="shared" si="32"/>
        <v>0</v>
      </c>
      <c r="J44" s="205">
        <f t="shared" si="32"/>
        <v>0</v>
      </c>
      <c r="K44" s="205">
        <f t="shared" si="32"/>
        <v>0</v>
      </c>
      <c r="L44" s="205">
        <f t="shared" si="32"/>
        <v>0</v>
      </c>
      <c r="M44" s="39"/>
    </row>
    <row r="45" spans="1:18" s="39" customFormat="1" ht="15.75" customHeight="1" thickBot="1">
      <c r="A45" s="179" t="s">
        <v>202</v>
      </c>
      <c r="B45" s="180"/>
      <c r="C45" s="180"/>
      <c r="D45" s="180"/>
      <c r="E45" s="180"/>
      <c r="F45" s="181"/>
      <c r="G45" s="185"/>
      <c r="H45" s="230"/>
      <c r="I45" s="186"/>
      <c r="J45" s="186"/>
      <c r="K45" s="186"/>
      <c r="L45" s="187"/>
      <c r="M45" s="129"/>
    </row>
    <row r="46" spans="1:18" ht="15.75" customHeight="1">
      <c r="A46" s="23"/>
      <c r="B46" s="38"/>
      <c r="C46" s="38"/>
      <c r="D46" s="38"/>
      <c r="E46" s="38"/>
      <c r="F46" s="30"/>
      <c r="I46" s="6"/>
      <c r="J46" s="6"/>
      <c r="K46" s="6"/>
      <c r="L46" s="7">
        <f>SUM(G46:K46)</f>
        <v>0</v>
      </c>
    </row>
    <row r="47" spans="1:18" ht="15.75" customHeight="1">
      <c r="A47" s="8"/>
      <c r="B47" s="29"/>
      <c r="C47" s="29"/>
      <c r="D47" s="29"/>
      <c r="E47" s="29"/>
      <c r="F47" s="4"/>
      <c r="G47" s="5"/>
      <c r="H47" s="6"/>
      <c r="I47" s="6"/>
      <c r="J47" s="6"/>
      <c r="K47" s="6"/>
      <c r="L47" s="7">
        <f>SUM(G47:K47)</f>
        <v>0</v>
      </c>
    </row>
    <row r="48" spans="1:18" ht="15.75" customHeight="1">
      <c r="A48" s="8"/>
      <c r="B48" s="29"/>
      <c r="C48" s="29"/>
      <c r="D48" s="29"/>
      <c r="E48" s="29"/>
      <c r="F48" s="4"/>
      <c r="G48" s="5"/>
      <c r="H48" s="6"/>
      <c r="I48" s="6"/>
      <c r="J48" s="6"/>
      <c r="K48" s="6"/>
      <c r="L48" s="97">
        <f>SUM(G48:K48)</f>
        <v>0</v>
      </c>
    </row>
    <row r="49" spans="1:18" ht="15.75" customHeight="1" thickBot="1">
      <c r="A49" s="37"/>
      <c r="B49" s="45"/>
      <c r="C49" s="45"/>
      <c r="D49" s="45"/>
      <c r="E49" s="45"/>
      <c r="F49" s="28" t="s">
        <v>24</v>
      </c>
      <c r="G49" s="204">
        <f t="shared" ref="G49:L49" si="34">ROUND(SUM(G46:G48),0)</f>
        <v>0</v>
      </c>
      <c r="H49" s="204">
        <f t="shared" si="34"/>
        <v>0</v>
      </c>
      <c r="I49" s="204">
        <f t="shared" si="34"/>
        <v>0</v>
      </c>
      <c r="J49" s="204">
        <f t="shared" si="34"/>
        <v>0</v>
      </c>
      <c r="K49" s="204">
        <f t="shared" si="34"/>
        <v>0</v>
      </c>
      <c r="L49" s="206">
        <f t="shared" si="34"/>
        <v>0</v>
      </c>
    </row>
    <row r="50" spans="1:18" ht="15.75" customHeight="1" thickBot="1">
      <c r="A50" s="188" t="s">
        <v>201</v>
      </c>
      <c r="B50" s="189"/>
      <c r="C50" s="189"/>
      <c r="D50" s="189"/>
      <c r="E50" s="189"/>
      <c r="F50" s="190"/>
      <c r="G50" s="191"/>
      <c r="H50" s="186"/>
      <c r="I50" s="186"/>
      <c r="J50" s="186"/>
      <c r="K50" s="186"/>
      <c r="L50" s="187"/>
    </row>
    <row r="51" spans="1:18" ht="15.75" customHeight="1">
      <c r="A51" s="8" t="s">
        <v>69</v>
      </c>
      <c r="B51" s="29"/>
      <c r="C51" s="29"/>
      <c r="D51" s="29"/>
      <c r="E51" s="29"/>
      <c r="F51" s="4"/>
      <c r="G51" s="5"/>
      <c r="H51" s="6"/>
      <c r="I51" s="6"/>
      <c r="J51" s="6"/>
      <c r="K51" s="6"/>
      <c r="L51" s="7">
        <f t="shared" ref="L51:L56" si="35">SUM(G51:K51)</f>
        <v>0</v>
      </c>
      <c r="M51" s="503" t="s">
        <v>284</v>
      </c>
      <c r="N51" s="504"/>
      <c r="O51" s="504"/>
      <c r="P51" s="504"/>
      <c r="Q51" s="504"/>
      <c r="R51" s="505"/>
    </row>
    <row r="52" spans="1:18" ht="15.75" customHeight="1">
      <c r="A52" s="8" t="s">
        <v>70</v>
      </c>
      <c r="B52" s="29"/>
      <c r="C52" s="29"/>
      <c r="D52" s="29"/>
      <c r="E52" s="29"/>
      <c r="F52" s="4"/>
      <c r="G52" s="5"/>
      <c r="H52" s="6"/>
      <c r="I52" s="6"/>
      <c r="J52" s="6"/>
      <c r="K52" s="6"/>
      <c r="L52" s="7">
        <f t="shared" si="35"/>
        <v>0</v>
      </c>
      <c r="M52" s="506"/>
      <c r="N52" s="507"/>
      <c r="O52" s="507"/>
      <c r="P52" s="507"/>
      <c r="Q52" s="507"/>
      <c r="R52" s="508"/>
    </row>
    <row r="53" spans="1:18" ht="15.75" customHeight="1">
      <c r="A53" s="8"/>
      <c r="B53" s="29"/>
      <c r="C53" s="29"/>
      <c r="D53" s="29"/>
      <c r="E53" s="29"/>
      <c r="F53" s="4"/>
      <c r="G53" s="5"/>
      <c r="H53" s="6"/>
      <c r="I53" s="6"/>
      <c r="J53" s="6"/>
      <c r="K53" s="6"/>
      <c r="L53" s="7">
        <f t="shared" si="35"/>
        <v>0</v>
      </c>
      <c r="M53" s="506"/>
      <c r="N53" s="507"/>
      <c r="O53" s="507"/>
      <c r="P53" s="507"/>
      <c r="Q53" s="507"/>
      <c r="R53" s="508"/>
    </row>
    <row r="54" spans="1:18" ht="15.75" customHeight="1" thickBot="1">
      <c r="A54" s="8"/>
      <c r="B54" s="29"/>
      <c r="C54" s="29"/>
      <c r="D54" s="29"/>
      <c r="E54" s="29"/>
      <c r="F54" s="4"/>
      <c r="G54" s="5"/>
      <c r="H54" s="6"/>
      <c r="I54" s="6"/>
      <c r="J54" s="6"/>
      <c r="K54" s="6"/>
      <c r="L54" s="7">
        <f t="shared" si="35"/>
        <v>0</v>
      </c>
      <c r="M54" s="509"/>
      <c r="N54" s="510"/>
      <c r="O54" s="510"/>
      <c r="P54" s="510"/>
      <c r="Q54" s="510"/>
      <c r="R54" s="511"/>
    </row>
    <row r="55" spans="1:18" ht="15.75" customHeight="1">
      <c r="A55" s="8"/>
      <c r="B55" s="29"/>
      <c r="C55" s="29"/>
      <c r="D55" s="29"/>
      <c r="E55" s="29"/>
      <c r="F55" s="4"/>
      <c r="G55" s="5"/>
      <c r="H55" s="6"/>
      <c r="I55" s="6"/>
      <c r="J55" s="6"/>
      <c r="K55" s="6"/>
      <c r="L55" s="7">
        <f t="shared" si="35"/>
        <v>0</v>
      </c>
    </row>
    <row r="56" spans="1:18" ht="15.75" customHeight="1">
      <c r="A56" s="8"/>
      <c r="B56" s="29"/>
      <c r="C56" s="29"/>
      <c r="D56" s="29"/>
      <c r="E56" s="29"/>
      <c r="F56" s="4"/>
      <c r="G56" s="5"/>
      <c r="H56" s="6"/>
      <c r="I56" s="6"/>
      <c r="J56" s="6"/>
      <c r="K56" s="6"/>
      <c r="L56" s="7">
        <f t="shared" si="35"/>
        <v>0</v>
      </c>
    </row>
    <row r="57" spans="1:18" ht="15.75" customHeight="1" thickBot="1">
      <c r="A57" s="21"/>
      <c r="B57" s="24"/>
      <c r="C57" s="24"/>
      <c r="D57" s="24"/>
      <c r="E57" s="24"/>
      <c r="F57" s="32" t="s">
        <v>27</v>
      </c>
      <c r="G57" s="204">
        <f t="shared" ref="G57:L57" si="36">ROUND(SUM(G51:G56),0)</f>
        <v>0</v>
      </c>
      <c r="H57" s="204">
        <f t="shared" si="36"/>
        <v>0</v>
      </c>
      <c r="I57" s="204">
        <f t="shared" si="36"/>
        <v>0</v>
      </c>
      <c r="J57" s="204">
        <f t="shared" si="36"/>
        <v>0</v>
      </c>
      <c r="K57" s="204">
        <f t="shared" si="36"/>
        <v>0</v>
      </c>
      <c r="L57" s="204">
        <f t="shared" si="36"/>
        <v>0</v>
      </c>
    </row>
    <row r="58" spans="1:18" ht="15.75" customHeight="1" thickBot="1">
      <c r="A58" s="179" t="s">
        <v>43</v>
      </c>
      <c r="B58" s="180"/>
      <c r="C58" s="180"/>
      <c r="D58" s="180"/>
      <c r="E58" s="180"/>
      <c r="F58" s="181"/>
      <c r="G58" s="191"/>
      <c r="H58" s="186"/>
      <c r="I58" s="186"/>
      <c r="J58" s="186"/>
      <c r="K58" s="186"/>
      <c r="L58" s="187"/>
    </row>
    <row r="59" spans="1:18" ht="15.75" customHeight="1">
      <c r="A59" s="8" t="s">
        <v>185</v>
      </c>
      <c r="B59" s="29"/>
      <c r="C59" s="29"/>
      <c r="D59" s="29"/>
      <c r="E59" s="29"/>
      <c r="F59" s="4"/>
      <c r="G59" s="5"/>
      <c r="H59" s="6"/>
      <c r="I59" s="6"/>
      <c r="J59" s="6"/>
      <c r="K59" s="6"/>
      <c r="L59" s="7">
        <f>SUM(G59:K59)</f>
        <v>0</v>
      </c>
    </row>
    <row r="60" spans="1:18" ht="15.75" customHeight="1">
      <c r="A60" s="8" t="s">
        <v>186</v>
      </c>
      <c r="B60" s="29"/>
      <c r="C60" s="29"/>
      <c r="D60" s="29"/>
      <c r="E60" s="29"/>
      <c r="F60" s="4"/>
      <c r="G60" s="5"/>
      <c r="H60" s="6"/>
      <c r="I60" s="6"/>
      <c r="J60" s="6"/>
      <c r="K60" s="6"/>
      <c r="L60" s="7">
        <f>SUM(G60:K60)</f>
        <v>0</v>
      </c>
    </row>
    <row r="61" spans="1:18" ht="15.75" customHeight="1" thickBot="1">
      <c r="A61" s="19"/>
      <c r="B61" s="44"/>
      <c r="C61" s="44"/>
      <c r="D61" s="44"/>
      <c r="E61" s="44"/>
      <c r="F61" s="32" t="s">
        <v>28</v>
      </c>
      <c r="G61" s="204">
        <f t="shared" ref="G61:L61" si="37">SUM(G59:G60)</f>
        <v>0</v>
      </c>
      <c r="H61" s="204">
        <f t="shared" si="37"/>
        <v>0</v>
      </c>
      <c r="I61" s="204">
        <f t="shared" si="37"/>
        <v>0</v>
      </c>
      <c r="J61" s="204">
        <f t="shared" si="37"/>
        <v>0</v>
      </c>
      <c r="K61" s="204">
        <f t="shared" si="37"/>
        <v>0</v>
      </c>
      <c r="L61" s="204">
        <f t="shared" si="37"/>
        <v>0</v>
      </c>
    </row>
    <row r="62" spans="1:18" ht="15.75" customHeight="1" thickBot="1">
      <c r="A62" s="179" t="s">
        <v>193</v>
      </c>
      <c r="B62" s="180"/>
      <c r="C62" s="180"/>
      <c r="D62" s="180"/>
      <c r="E62" s="180"/>
      <c r="F62" s="181"/>
      <c r="G62" s="191"/>
      <c r="H62" s="186"/>
      <c r="I62" s="186"/>
      <c r="J62" s="186"/>
      <c r="K62" s="186"/>
      <c r="L62" s="187"/>
    </row>
    <row r="63" spans="1:18" ht="15.75" customHeight="1">
      <c r="A63" s="8"/>
      <c r="B63" s="29"/>
      <c r="C63" s="29"/>
      <c r="D63" s="29"/>
      <c r="E63" s="29"/>
      <c r="F63" s="4"/>
      <c r="G63" s="5"/>
      <c r="H63" s="6"/>
      <c r="I63" s="6"/>
      <c r="J63" s="6"/>
      <c r="K63" s="6"/>
      <c r="L63" s="7">
        <f>SUM(G63:K63)</f>
        <v>0</v>
      </c>
    </row>
    <row r="64" spans="1:18" ht="15.75" customHeight="1">
      <c r="A64" s="8"/>
      <c r="B64" s="29"/>
      <c r="C64" s="29"/>
      <c r="D64" s="29"/>
      <c r="E64" s="29"/>
      <c r="F64" s="4"/>
      <c r="G64" s="5"/>
      <c r="H64" s="6"/>
      <c r="I64" s="6"/>
      <c r="J64" s="6"/>
      <c r="K64" s="6"/>
      <c r="L64" s="7">
        <f>SUM(G64:K64)</f>
        <v>0</v>
      </c>
    </row>
    <row r="65" spans="1:13" ht="15.75" customHeight="1">
      <c r="A65" s="8"/>
      <c r="B65" s="29"/>
      <c r="C65" s="29"/>
      <c r="D65" s="29"/>
      <c r="E65" s="29"/>
      <c r="F65" s="4"/>
      <c r="G65" s="5"/>
      <c r="H65" s="6"/>
      <c r="I65" s="6"/>
      <c r="J65" s="6"/>
      <c r="K65" s="6"/>
      <c r="L65" s="7">
        <f>SUM(G65:K65)</f>
        <v>0</v>
      </c>
    </row>
    <row r="66" spans="1:13" ht="15.75" customHeight="1">
      <c r="A66" s="8"/>
      <c r="B66" s="29"/>
      <c r="C66" s="29"/>
      <c r="D66" s="29"/>
      <c r="E66" s="29"/>
      <c r="F66" s="4"/>
      <c r="G66" s="5"/>
      <c r="H66" s="6"/>
      <c r="I66" s="6"/>
      <c r="J66" s="6"/>
      <c r="K66" s="6"/>
      <c r="L66" s="7">
        <f>SUM(G66:K66)</f>
        <v>0</v>
      </c>
    </row>
    <row r="67" spans="1:13" ht="15.75" customHeight="1" thickBot="1">
      <c r="A67" s="19"/>
      <c r="B67" s="44"/>
      <c r="C67" s="44"/>
      <c r="D67" s="44"/>
      <c r="E67" s="44"/>
      <c r="F67" s="32" t="s">
        <v>29</v>
      </c>
      <c r="G67" s="204">
        <f t="shared" ref="G67:L67" si="38">ROUND(SUM(G63:G66),0)</f>
        <v>0</v>
      </c>
      <c r="H67" s="204">
        <f t="shared" si="38"/>
        <v>0</v>
      </c>
      <c r="I67" s="204">
        <f t="shared" si="38"/>
        <v>0</v>
      </c>
      <c r="J67" s="204">
        <f t="shared" si="38"/>
        <v>0</v>
      </c>
      <c r="K67" s="204">
        <f t="shared" si="38"/>
        <v>0</v>
      </c>
      <c r="L67" s="204">
        <f t="shared" si="38"/>
        <v>0</v>
      </c>
    </row>
    <row r="68" spans="1:13" ht="15.75" customHeight="1" thickBot="1">
      <c r="A68" s="179" t="s">
        <v>192</v>
      </c>
      <c r="B68" s="192" t="s">
        <v>196</v>
      </c>
      <c r="C68" s="180"/>
      <c r="D68" s="180"/>
      <c r="E68" s="180"/>
      <c r="F68" s="193"/>
      <c r="G68" s="194"/>
      <c r="H68" s="195"/>
      <c r="I68" s="195"/>
      <c r="J68" s="195"/>
      <c r="K68" s="195"/>
      <c r="L68" s="196"/>
    </row>
    <row r="69" spans="1:13" ht="15.75" customHeight="1">
      <c r="A69" s="19" t="s">
        <v>195</v>
      </c>
      <c r="B69" s="44"/>
      <c r="C69" s="44"/>
      <c r="D69" s="44"/>
      <c r="E69" s="44"/>
      <c r="F69" s="43"/>
      <c r="G69" s="5"/>
      <c r="H69" s="6"/>
      <c r="I69" s="6"/>
      <c r="J69" s="6"/>
      <c r="K69" s="6"/>
      <c r="L69" s="7">
        <f>SUM(G69:K69)</f>
        <v>0</v>
      </c>
    </row>
    <row r="70" spans="1:13" ht="15.75" customHeight="1" thickBot="1">
      <c r="A70" s="19"/>
      <c r="B70" s="44"/>
      <c r="C70" s="44"/>
      <c r="D70" s="44"/>
      <c r="E70" s="44"/>
      <c r="F70" s="43"/>
      <c r="G70" s="204">
        <f t="shared" ref="G70:L70" si="39">SUM(G69)</f>
        <v>0</v>
      </c>
      <c r="H70" s="204">
        <f t="shared" si="39"/>
        <v>0</v>
      </c>
      <c r="I70" s="204">
        <f t="shared" si="39"/>
        <v>0</v>
      </c>
      <c r="J70" s="204">
        <f t="shared" si="39"/>
        <v>0</v>
      </c>
      <c r="K70" s="204">
        <f t="shared" si="39"/>
        <v>0</v>
      </c>
      <c r="L70" s="204">
        <f t="shared" si="39"/>
        <v>0</v>
      </c>
    </row>
    <row r="71" spans="1:13" ht="15.75" customHeight="1" thickBot="1">
      <c r="A71" s="179" t="s">
        <v>194</v>
      </c>
      <c r="B71" s="180"/>
      <c r="C71" s="180"/>
      <c r="D71" s="180"/>
      <c r="E71" s="180"/>
      <c r="F71" s="197"/>
      <c r="G71" s="191"/>
      <c r="H71" s="186"/>
      <c r="I71" s="186"/>
      <c r="J71" s="186"/>
      <c r="K71" s="186"/>
      <c r="L71" s="187"/>
    </row>
    <row r="72" spans="1:13" ht="15.75" customHeight="1">
      <c r="A72" s="19"/>
      <c r="B72" s="44"/>
      <c r="C72" s="44"/>
      <c r="D72" s="44"/>
      <c r="E72" s="44"/>
      <c r="F72" s="44"/>
      <c r="G72" s="9"/>
      <c r="H72" s="128"/>
      <c r="I72" s="128"/>
      <c r="J72" s="128"/>
      <c r="K72" s="128"/>
      <c r="L72" s="11">
        <f>SUM(G72:K72)</f>
        <v>0</v>
      </c>
      <c r="M72" s="39"/>
    </row>
    <row r="73" spans="1:13" s="39" customFormat="1" ht="15.75" customHeight="1" thickBot="1">
      <c r="A73" s="19"/>
      <c r="B73" s="44"/>
      <c r="C73" s="44"/>
      <c r="D73" s="44"/>
      <c r="E73" s="44"/>
      <c r="F73" s="43" t="s">
        <v>30</v>
      </c>
      <c r="G73" s="204">
        <f t="shared" ref="G73:L73" si="40">ROUND(SUM(G72),0)</f>
        <v>0</v>
      </c>
      <c r="H73" s="204">
        <f t="shared" si="40"/>
        <v>0</v>
      </c>
      <c r="I73" s="204">
        <f t="shared" si="40"/>
        <v>0</v>
      </c>
      <c r="J73" s="204">
        <f t="shared" si="40"/>
        <v>0</v>
      </c>
      <c r="K73" s="204">
        <f t="shared" si="40"/>
        <v>0</v>
      </c>
      <c r="L73" s="204">
        <f t="shared" si="40"/>
        <v>0</v>
      </c>
    </row>
    <row r="74" spans="1:13" s="39" customFormat="1" ht="15.75" customHeight="1" thickBot="1">
      <c r="A74" s="179" t="s">
        <v>199</v>
      </c>
      <c r="B74" s="180"/>
      <c r="C74" s="180"/>
      <c r="D74" s="180"/>
      <c r="E74" s="180"/>
      <c r="F74" s="181"/>
      <c r="G74" s="191"/>
      <c r="H74" s="186"/>
      <c r="I74" s="186"/>
      <c r="J74" s="186"/>
      <c r="K74" s="186"/>
      <c r="L74" s="187"/>
      <c r="M74" s="129"/>
    </row>
    <row r="75" spans="1:13" ht="15.75" customHeight="1">
      <c r="A75" s="19"/>
      <c r="B75" s="44"/>
      <c r="C75" s="44"/>
      <c r="D75" s="44"/>
      <c r="E75" s="44"/>
      <c r="F75" s="4"/>
      <c r="G75" s="5"/>
      <c r="H75" s="6"/>
      <c r="I75" s="6"/>
      <c r="J75" s="6"/>
      <c r="K75" s="6"/>
      <c r="L75" s="7">
        <f>SUM(G75:K75)</f>
        <v>0</v>
      </c>
    </row>
    <row r="76" spans="1:13" ht="15.75" customHeight="1">
      <c r="A76" s="21"/>
      <c r="B76" s="24"/>
      <c r="C76" s="24"/>
      <c r="D76" s="24"/>
      <c r="E76" s="24"/>
      <c r="F76" s="16"/>
      <c r="G76" s="9"/>
      <c r="H76" s="128"/>
      <c r="I76" s="128"/>
      <c r="J76" s="128"/>
      <c r="K76" s="128"/>
      <c r="L76" s="7">
        <f>SUM(G76:K76)</f>
        <v>0</v>
      </c>
    </row>
    <row r="77" spans="1:13" ht="15.75" customHeight="1" thickBot="1">
      <c r="A77" s="19"/>
      <c r="B77" s="44"/>
      <c r="C77" s="44"/>
      <c r="D77" s="44"/>
      <c r="E77" s="44"/>
      <c r="F77" s="32" t="s">
        <v>31</v>
      </c>
      <c r="G77" s="204">
        <f t="shared" ref="G77:L77" si="41">SUM(G75:G76)</f>
        <v>0</v>
      </c>
      <c r="H77" s="204">
        <f t="shared" si="41"/>
        <v>0</v>
      </c>
      <c r="I77" s="204">
        <f t="shared" si="41"/>
        <v>0</v>
      </c>
      <c r="J77" s="204">
        <f t="shared" si="41"/>
        <v>0</v>
      </c>
      <c r="K77" s="204">
        <f t="shared" si="41"/>
        <v>0</v>
      </c>
      <c r="L77" s="206">
        <f t="shared" si="41"/>
        <v>0</v>
      </c>
      <c r="M77" s="39"/>
    </row>
    <row r="78" spans="1:13" s="39" customFormat="1" ht="15.75" customHeight="1" thickBot="1">
      <c r="A78" s="179" t="s">
        <v>44</v>
      </c>
      <c r="B78" s="180"/>
      <c r="C78" s="180"/>
      <c r="D78" s="180"/>
      <c r="E78" s="180"/>
      <c r="F78" s="181"/>
      <c r="G78" s="186"/>
      <c r="H78" s="186"/>
      <c r="I78" s="186"/>
      <c r="J78" s="186"/>
      <c r="K78" s="186"/>
      <c r="L78" s="187"/>
      <c r="M78" s="129"/>
    </row>
    <row r="79" spans="1:13" ht="15.75" customHeight="1">
      <c r="A79" s="19"/>
      <c r="B79" s="44"/>
      <c r="C79" s="44"/>
      <c r="D79" s="44"/>
      <c r="E79" s="44"/>
      <c r="F79" s="44"/>
      <c r="G79" s="9"/>
      <c r="H79" s="128"/>
      <c r="I79" s="128"/>
      <c r="J79" s="128"/>
      <c r="K79" s="128"/>
      <c r="L79" s="11">
        <f>SUM(G79:K79)</f>
        <v>0</v>
      </c>
      <c r="M79" s="39"/>
    </row>
    <row r="80" spans="1:13" s="39" customFormat="1" ht="15.75" customHeight="1" thickBot="1">
      <c r="A80" s="19"/>
      <c r="B80" s="44"/>
      <c r="C80" s="44"/>
      <c r="D80" s="44"/>
      <c r="E80" s="44"/>
      <c r="F80" s="43" t="s">
        <v>32</v>
      </c>
      <c r="G80" s="204">
        <f t="shared" ref="G80:L80" si="42">SUM(G79)</f>
        <v>0</v>
      </c>
      <c r="H80" s="204">
        <f t="shared" si="42"/>
        <v>0</v>
      </c>
      <c r="I80" s="204">
        <f t="shared" si="42"/>
        <v>0</v>
      </c>
      <c r="J80" s="204">
        <f t="shared" si="42"/>
        <v>0</v>
      </c>
      <c r="K80" s="204">
        <f t="shared" si="42"/>
        <v>0</v>
      </c>
      <c r="L80" s="206">
        <f t="shared" si="42"/>
        <v>0</v>
      </c>
    </row>
    <row r="81" spans="1:23" s="39" customFormat="1" ht="15.75" customHeight="1" thickBot="1">
      <c r="A81" s="179" t="s">
        <v>200</v>
      </c>
      <c r="B81" s="180"/>
      <c r="C81" s="180"/>
      <c r="D81" s="180"/>
      <c r="E81" s="180"/>
      <c r="F81" s="181"/>
      <c r="G81" s="186"/>
      <c r="H81" s="186"/>
      <c r="I81" s="186"/>
      <c r="J81" s="186"/>
      <c r="K81" s="186"/>
      <c r="L81" s="187"/>
      <c r="M81" s="129"/>
    </row>
    <row r="82" spans="1:23" ht="15.75" customHeight="1">
      <c r="A82" s="19"/>
      <c r="B82" s="44"/>
      <c r="C82" s="44"/>
      <c r="D82" s="44"/>
      <c r="E82" s="44"/>
      <c r="F82" s="16"/>
      <c r="G82" s="9"/>
      <c r="H82" s="128"/>
      <c r="I82" s="128"/>
      <c r="J82" s="128"/>
      <c r="K82" s="128"/>
      <c r="L82" s="11">
        <f>SUM(G82:K82)</f>
        <v>0</v>
      </c>
      <c r="M82" s="39"/>
    </row>
    <row r="83" spans="1:23" s="39" customFormat="1" ht="15.75" customHeight="1" thickBot="1">
      <c r="A83" s="19"/>
      <c r="B83" s="44"/>
      <c r="C83" s="44"/>
      <c r="D83" s="44"/>
      <c r="E83" s="44"/>
      <c r="F83" s="32" t="s">
        <v>33</v>
      </c>
      <c r="G83" s="204">
        <f t="shared" ref="G83:L83" si="43">SUM(G82)</f>
        <v>0</v>
      </c>
      <c r="H83" s="204">
        <f t="shared" ref="H83" si="44">SUM(H82)</f>
        <v>0</v>
      </c>
      <c r="I83" s="204">
        <f t="shared" si="43"/>
        <v>0</v>
      </c>
      <c r="J83" s="204">
        <f t="shared" si="43"/>
        <v>0</v>
      </c>
      <c r="K83" s="204">
        <f t="shared" si="43"/>
        <v>0</v>
      </c>
      <c r="L83" s="204">
        <f t="shared" si="43"/>
        <v>0</v>
      </c>
    </row>
    <row r="84" spans="1:23" s="39" customFormat="1" ht="15.75" customHeight="1" thickBot="1">
      <c r="A84" s="132" t="s">
        <v>9</v>
      </c>
      <c r="B84" s="133"/>
      <c r="C84" s="133"/>
      <c r="D84" s="133"/>
      <c r="E84" s="133"/>
      <c r="F84" s="134"/>
      <c r="G84" s="131">
        <f t="shared" ref="G84:L84" si="45">ROUND(SUM(G41+G43+G49+G57+G67+G70+G73+G77+G80+G61+G83),0)</f>
        <v>0</v>
      </c>
      <c r="H84" s="131">
        <f t="shared" si="45"/>
        <v>0</v>
      </c>
      <c r="I84" s="131">
        <f t="shared" si="45"/>
        <v>0</v>
      </c>
      <c r="J84" s="131">
        <f t="shared" si="45"/>
        <v>0</v>
      </c>
      <c r="K84" s="131">
        <f t="shared" si="45"/>
        <v>0</v>
      </c>
      <c r="L84" s="131">
        <f t="shared" si="45"/>
        <v>0</v>
      </c>
      <c r="M84" s="129"/>
    </row>
    <row r="85" spans="1:23" ht="15.75" customHeight="1" thickBot="1">
      <c r="A85" s="179" t="s">
        <v>12</v>
      </c>
      <c r="B85" s="180"/>
      <c r="C85" s="180"/>
      <c r="D85" s="180"/>
      <c r="E85" s="180"/>
      <c r="F85" s="181"/>
      <c r="G85" s="186"/>
      <c r="H85" s="186"/>
      <c r="I85" s="186"/>
      <c r="J85" s="186"/>
      <c r="K85" s="186"/>
      <c r="L85" s="198"/>
    </row>
    <row r="86" spans="1:23" ht="15.75" customHeight="1">
      <c r="A86" s="8" t="s">
        <v>10</v>
      </c>
      <c r="B86" s="29"/>
      <c r="C86" s="29"/>
      <c r="D86" s="29"/>
      <c r="E86" s="29"/>
      <c r="F86" s="4"/>
      <c r="G86" s="1">
        <f>G21+G25</f>
        <v>0</v>
      </c>
      <c r="H86" s="2">
        <f>H21+H25</f>
        <v>0</v>
      </c>
      <c r="I86" s="2">
        <f>SUM(I21+I25)</f>
        <v>0</v>
      </c>
      <c r="J86" s="2">
        <f>SUM(J21+J25)</f>
        <v>0</v>
      </c>
      <c r="K86" s="2">
        <f>SUM(K21+K25)</f>
        <v>0</v>
      </c>
      <c r="L86" s="3">
        <f>SUM(L21+L25)</f>
        <v>0</v>
      </c>
    </row>
    <row r="87" spans="1:23" ht="15.75" customHeight="1">
      <c r="A87" s="8" t="s">
        <v>11</v>
      </c>
      <c r="B87" s="29"/>
      <c r="C87" s="29"/>
      <c r="D87" s="29"/>
      <c r="E87" s="29"/>
      <c r="F87" s="4"/>
      <c r="G87" s="9">
        <f t="shared" ref="G87:L87" si="46">+G49</f>
        <v>0</v>
      </c>
      <c r="H87" s="128">
        <f t="shared" si="46"/>
        <v>0</v>
      </c>
      <c r="I87" s="128">
        <f t="shared" si="46"/>
        <v>0</v>
      </c>
      <c r="J87" s="128">
        <f t="shared" si="46"/>
        <v>0</v>
      </c>
      <c r="K87" s="128">
        <f t="shared" si="46"/>
        <v>0</v>
      </c>
      <c r="L87" s="11">
        <f t="shared" si="46"/>
        <v>0</v>
      </c>
    </row>
    <row r="88" spans="1:23" ht="21.75">
      <c r="A88" s="8" t="s">
        <v>317</v>
      </c>
      <c r="B88" s="29"/>
      <c r="C88" s="29"/>
      <c r="D88" s="100"/>
      <c r="E88" s="29"/>
      <c r="F88" s="4"/>
      <c r="G88" s="285">
        <f>G67</f>
        <v>0</v>
      </c>
      <c r="H88" s="286">
        <f>H67</f>
        <v>0</v>
      </c>
      <c r="I88" s="286">
        <f t="shared" ref="I88:K88" si="47">I67</f>
        <v>0</v>
      </c>
      <c r="J88" s="286">
        <f t="shared" si="47"/>
        <v>0</v>
      </c>
      <c r="K88" s="286">
        <f t="shared" si="47"/>
        <v>0</v>
      </c>
      <c r="L88" s="101">
        <f>SUM(G88:K88)</f>
        <v>0</v>
      </c>
      <c r="N88" s="229"/>
      <c r="O88" s="229"/>
      <c r="P88" s="229"/>
      <c r="Q88" s="229"/>
      <c r="R88" s="229"/>
      <c r="S88" s="229"/>
      <c r="T88" s="229"/>
      <c r="U88" s="229"/>
      <c r="V88" s="229"/>
      <c r="W88" s="229"/>
    </row>
    <row r="89" spans="1:23" ht="22.5" thickBot="1">
      <c r="A89" s="284" t="s">
        <v>316</v>
      </c>
      <c r="B89" s="22"/>
      <c r="C89" s="22"/>
      <c r="D89" s="22"/>
      <c r="E89" s="22"/>
      <c r="F89" s="18"/>
      <c r="G89" s="264">
        <v>0</v>
      </c>
      <c r="H89" s="265"/>
      <c r="I89" s="265"/>
      <c r="J89" s="265"/>
      <c r="K89" s="265"/>
      <c r="L89" s="266">
        <f>SUM(G89:K89)</f>
        <v>0</v>
      </c>
      <c r="N89" s="229"/>
      <c r="O89" s="229"/>
      <c r="P89" s="229"/>
      <c r="Q89" s="229"/>
      <c r="R89" s="229"/>
      <c r="S89" s="229"/>
      <c r="T89" s="229"/>
      <c r="U89" s="229"/>
      <c r="V89" s="229"/>
      <c r="W89" s="229"/>
    </row>
    <row r="90" spans="1:23" ht="22.5" thickBot="1">
      <c r="A90" s="23"/>
      <c r="B90" s="38"/>
      <c r="C90" s="38"/>
      <c r="D90" s="38"/>
      <c r="E90" s="38"/>
      <c r="F90" s="271" t="s">
        <v>51</v>
      </c>
      <c r="G90" s="131">
        <f t="shared" ref="G90:L90" si="48">SUM(G84-(G86+G87+G88+G89),0)</f>
        <v>0</v>
      </c>
      <c r="H90" s="131">
        <f t="shared" si="48"/>
        <v>0</v>
      </c>
      <c r="I90" s="131">
        <f t="shared" si="48"/>
        <v>0</v>
      </c>
      <c r="J90" s="131">
        <f t="shared" si="48"/>
        <v>0</v>
      </c>
      <c r="K90" s="131">
        <f t="shared" si="48"/>
        <v>0</v>
      </c>
      <c r="L90" s="131">
        <f t="shared" si="48"/>
        <v>0</v>
      </c>
      <c r="M90" s="268" t="s">
        <v>288</v>
      </c>
      <c r="N90" s="229"/>
      <c r="O90" s="229"/>
      <c r="P90" s="229"/>
      <c r="Q90" s="229"/>
      <c r="R90" s="229"/>
      <c r="S90" s="229"/>
      <c r="T90" s="229"/>
      <c r="U90" s="229"/>
      <c r="V90" s="229"/>
      <c r="W90" s="229"/>
    </row>
    <row r="91" spans="1:23" ht="22.5" thickBot="1">
      <c r="A91" s="123" t="s">
        <v>14</v>
      </c>
      <c r="B91" s="124"/>
      <c r="C91" s="124"/>
      <c r="D91" s="124"/>
      <c r="E91" s="226" t="s">
        <v>191</v>
      </c>
      <c r="F91" s="94">
        <v>0.51</v>
      </c>
      <c r="G91" s="205">
        <f>ROUND(G90*F91,0)</f>
        <v>0</v>
      </c>
      <c r="H91" s="205">
        <f>ROUND(H90*$F91,0)</f>
        <v>0</v>
      </c>
      <c r="I91" s="205">
        <f t="shared" ref="I91:K91" si="49">ROUND(I90*$F91,0)</f>
        <v>0</v>
      </c>
      <c r="J91" s="205">
        <f t="shared" si="49"/>
        <v>0</v>
      </c>
      <c r="K91" s="205">
        <f t="shared" si="49"/>
        <v>0</v>
      </c>
      <c r="L91" s="261">
        <f>ROUND((L90*F91),0)</f>
        <v>0</v>
      </c>
      <c r="M91" s="274">
        <f>SUM(G91:K91)</f>
        <v>0</v>
      </c>
      <c r="N91" s="229"/>
      <c r="O91" s="229"/>
      <c r="P91" s="229"/>
      <c r="Q91" s="229"/>
      <c r="R91" s="229"/>
      <c r="S91" s="229"/>
      <c r="T91" s="229"/>
      <c r="U91" s="229"/>
      <c r="V91" s="229"/>
      <c r="W91" s="229"/>
    </row>
    <row r="92" spans="1:23" ht="22.5" thickBot="1">
      <c r="A92" s="278" t="s">
        <v>313</v>
      </c>
      <c r="B92" s="279" t="s">
        <v>318</v>
      </c>
      <c r="C92" s="287" t="s">
        <v>319</v>
      </c>
      <c r="D92" s="279" t="s">
        <v>320</v>
      </c>
      <c r="E92" s="280"/>
      <c r="F92" s="281"/>
      <c r="G92" s="282">
        <v>0</v>
      </c>
      <c r="H92" s="282">
        <v>0</v>
      </c>
      <c r="I92" s="282">
        <v>0</v>
      </c>
      <c r="J92" s="282">
        <v>0</v>
      </c>
      <c r="K92" s="282">
        <v>0</v>
      </c>
      <c r="L92" s="283">
        <f>SUM(G92:K92)</f>
        <v>0</v>
      </c>
      <c r="M92" s="277"/>
      <c r="N92" s="229"/>
      <c r="O92" s="229"/>
      <c r="P92" s="229"/>
      <c r="Q92" s="229"/>
      <c r="R92" s="229"/>
      <c r="S92" s="229"/>
      <c r="T92" s="229"/>
      <c r="U92" s="229"/>
      <c r="V92" s="229"/>
      <c r="W92" s="229"/>
    </row>
    <row r="93" spans="1:23" ht="25.5" customHeight="1" thickBot="1">
      <c r="A93" s="135" t="s">
        <v>36</v>
      </c>
      <c r="B93" s="136"/>
      <c r="C93" s="136"/>
      <c r="D93" s="136"/>
      <c r="E93" s="136"/>
      <c r="F93" s="137"/>
      <c r="G93" s="131">
        <f>ROUND(SUM(G84+G91+G92),0)</f>
        <v>0</v>
      </c>
      <c r="H93" s="131">
        <f t="shared" ref="H93:L93" si="50">ROUND(SUM(H84+H91+H92),0)</f>
        <v>0</v>
      </c>
      <c r="I93" s="131">
        <f t="shared" si="50"/>
        <v>0</v>
      </c>
      <c r="J93" s="131">
        <f t="shared" si="50"/>
        <v>0</v>
      </c>
      <c r="K93" s="131">
        <f t="shared" si="50"/>
        <v>0</v>
      </c>
      <c r="L93" s="131">
        <f t="shared" si="50"/>
        <v>0</v>
      </c>
    </row>
    <row r="94" spans="1:23" ht="15.75" customHeight="1" thickBot="1">
      <c r="A94" s="126" t="s">
        <v>56</v>
      </c>
      <c r="B94" s="26" t="s">
        <v>15</v>
      </c>
      <c r="C94" s="25" t="s">
        <v>16</v>
      </c>
      <c r="D94" s="25" t="s">
        <v>17</v>
      </c>
      <c r="E94" s="25" t="s">
        <v>18</v>
      </c>
      <c r="F94" s="25" t="s">
        <v>19</v>
      </c>
      <c r="G94" s="129"/>
      <c r="H94" s="129"/>
      <c r="I94" s="129"/>
      <c r="J94" s="129"/>
      <c r="K94" s="129"/>
      <c r="L94" s="129"/>
    </row>
    <row r="95" spans="1:23" ht="15.75" customHeight="1" thickBot="1">
      <c r="A95" s="127"/>
      <c r="B95" s="26" t="s">
        <v>188</v>
      </c>
      <c r="C95" s="25"/>
      <c r="D95" s="25"/>
      <c r="E95" s="25"/>
      <c r="F95" s="26"/>
      <c r="G95" s="518" t="s">
        <v>190</v>
      </c>
      <c r="H95" s="519"/>
      <c r="I95" s="519"/>
      <c r="J95" s="519"/>
      <c r="K95" s="519"/>
    </row>
    <row r="96" spans="1:23" s="39" customFormat="1" ht="15.75" customHeight="1"/>
    <row r="97" spans="1:12" s="39" customFormat="1" ht="15.75" customHeight="1" thickBot="1"/>
    <row r="98" spans="1:12" ht="15.75" customHeight="1" thickBot="1">
      <c r="D98" s="512" t="s">
        <v>39</v>
      </c>
      <c r="E98" s="513"/>
      <c r="F98" s="514"/>
      <c r="G98" s="258" t="s">
        <v>286</v>
      </c>
      <c r="H98" s="258" t="s">
        <v>287</v>
      </c>
      <c r="I98" s="258" t="s">
        <v>0</v>
      </c>
      <c r="J98" s="258" t="s">
        <v>1</v>
      </c>
      <c r="K98" s="258" t="s">
        <v>2</v>
      </c>
      <c r="L98" s="258" t="s">
        <v>62</v>
      </c>
    </row>
    <row r="99" spans="1:12" ht="15.75" customHeight="1" thickBot="1">
      <c r="D99" s="8"/>
      <c r="E99" s="29"/>
      <c r="F99" s="51" t="s">
        <v>40</v>
      </c>
      <c r="G99" s="7">
        <f t="shared" ref="G99:L100" si="51">G39</f>
        <v>0</v>
      </c>
      <c r="H99" s="7">
        <f t="shared" si="51"/>
        <v>0</v>
      </c>
      <c r="I99" s="7">
        <f t="shared" si="51"/>
        <v>0</v>
      </c>
      <c r="J99" s="7">
        <f t="shared" si="51"/>
        <v>0</v>
      </c>
      <c r="K99" s="7">
        <f t="shared" si="51"/>
        <v>0</v>
      </c>
      <c r="L99" s="7">
        <f t="shared" si="51"/>
        <v>0</v>
      </c>
    </row>
    <row r="100" spans="1:12" ht="15.75" customHeight="1" thickTop="1">
      <c r="A100" s="515" t="s">
        <v>76</v>
      </c>
      <c r="B100" s="516"/>
      <c r="D100" s="8"/>
      <c r="E100" s="29"/>
      <c r="F100" s="51" t="s">
        <v>41</v>
      </c>
      <c r="G100" s="7">
        <f t="shared" si="51"/>
        <v>0</v>
      </c>
      <c r="H100" s="7">
        <f t="shared" si="51"/>
        <v>0</v>
      </c>
      <c r="I100" s="7">
        <f t="shared" si="51"/>
        <v>0</v>
      </c>
      <c r="J100" s="7">
        <f t="shared" si="51"/>
        <v>0</v>
      </c>
      <c r="K100" s="7">
        <f t="shared" si="51"/>
        <v>0</v>
      </c>
      <c r="L100" s="7">
        <f t="shared" si="51"/>
        <v>0</v>
      </c>
    </row>
    <row r="101" spans="1:12" ht="15.75" customHeight="1">
      <c r="A101" s="517"/>
      <c r="B101" s="476"/>
      <c r="D101" s="8"/>
      <c r="E101" s="29"/>
      <c r="F101" s="51" t="s">
        <v>66</v>
      </c>
      <c r="G101" s="7">
        <f>G77</f>
        <v>0</v>
      </c>
      <c r="H101" s="7">
        <f>H77</f>
        <v>0</v>
      </c>
      <c r="I101" s="7">
        <f>I77</f>
        <v>0</v>
      </c>
      <c r="J101" s="7">
        <f>J77</f>
        <v>0</v>
      </c>
      <c r="K101" s="7">
        <f>K77</f>
        <v>0</v>
      </c>
      <c r="L101" s="7">
        <f t="shared" ref="L101:L110" si="52">L41</f>
        <v>0</v>
      </c>
    </row>
    <row r="102" spans="1:12" ht="15.75" customHeight="1">
      <c r="A102" s="517"/>
      <c r="B102" s="476"/>
      <c r="D102" s="8"/>
      <c r="E102" s="29"/>
      <c r="F102" s="51" t="s">
        <v>42</v>
      </c>
      <c r="G102" s="7">
        <f>G57</f>
        <v>0</v>
      </c>
      <c r="H102" s="7">
        <f>H57</f>
        <v>0</v>
      </c>
      <c r="I102" s="7">
        <f>I57</f>
        <v>0</v>
      </c>
      <c r="J102" s="7">
        <f>J57</f>
        <v>0</v>
      </c>
      <c r="K102" s="7">
        <f>K57</f>
        <v>0</v>
      </c>
      <c r="L102" s="7">
        <f t="shared" si="52"/>
        <v>0</v>
      </c>
    </row>
    <row r="103" spans="1:12" ht="15.75" customHeight="1">
      <c r="A103" s="475" t="s">
        <v>77</v>
      </c>
      <c r="B103" s="476"/>
      <c r="D103" s="8"/>
      <c r="E103" s="29"/>
      <c r="F103" s="51" t="s">
        <v>43</v>
      </c>
      <c r="G103" s="7">
        <f>G61</f>
        <v>0</v>
      </c>
      <c r="H103" s="7">
        <f>H61</f>
        <v>0</v>
      </c>
      <c r="I103" s="7">
        <f>I61</f>
        <v>0</v>
      </c>
      <c r="J103" s="7">
        <f>J61</f>
        <v>0</v>
      </c>
      <c r="K103" s="7">
        <f>K61</f>
        <v>0</v>
      </c>
      <c r="L103" s="7">
        <f t="shared" si="52"/>
        <v>0</v>
      </c>
    </row>
    <row r="104" spans="1:12" ht="15.75" customHeight="1" thickBot="1">
      <c r="A104" s="477"/>
      <c r="B104" s="478"/>
      <c r="D104" s="8"/>
      <c r="E104" s="29"/>
      <c r="F104" s="51" t="s">
        <v>44</v>
      </c>
      <c r="G104" s="7">
        <f>G80</f>
        <v>0</v>
      </c>
      <c r="H104" s="7">
        <f>H80</f>
        <v>0</v>
      </c>
      <c r="I104" s="7">
        <f>I80</f>
        <v>0</v>
      </c>
      <c r="J104" s="7">
        <f>J80</f>
        <v>0</v>
      </c>
      <c r="K104" s="7">
        <f>K80</f>
        <v>0</v>
      </c>
      <c r="L104" s="7">
        <f t="shared" si="52"/>
        <v>0</v>
      </c>
    </row>
    <row r="105" spans="1:12" ht="15.75" customHeight="1" thickTop="1">
      <c r="D105" s="8"/>
      <c r="E105" s="29"/>
      <c r="F105" s="51" t="s">
        <v>45</v>
      </c>
      <c r="G105" s="7">
        <f>G49</f>
        <v>0</v>
      </c>
      <c r="H105" s="7">
        <f>H49</f>
        <v>0</v>
      </c>
      <c r="I105" s="7">
        <f>I49</f>
        <v>0</v>
      </c>
      <c r="J105" s="7">
        <f>J49</f>
        <v>0</v>
      </c>
      <c r="K105" s="7">
        <f>K49</f>
        <v>0</v>
      </c>
      <c r="L105" s="7">
        <f t="shared" si="52"/>
        <v>0</v>
      </c>
    </row>
    <row r="106" spans="1:12" ht="15.75" customHeight="1">
      <c r="D106" s="8"/>
      <c r="E106" s="29"/>
      <c r="F106" s="51" t="s">
        <v>46</v>
      </c>
      <c r="G106" s="7">
        <f>G43</f>
        <v>0</v>
      </c>
      <c r="H106" s="7">
        <f>H43</f>
        <v>0</v>
      </c>
      <c r="I106" s="7">
        <f>I43</f>
        <v>0</v>
      </c>
      <c r="J106" s="7">
        <f>J43</f>
        <v>0</v>
      </c>
      <c r="K106" s="7">
        <f>K43</f>
        <v>0</v>
      </c>
      <c r="L106" s="7">
        <f t="shared" si="52"/>
        <v>0</v>
      </c>
    </row>
    <row r="107" spans="1:12" ht="15.75" customHeight="1">
      <c r="D107" s="8"/>
      <c r="E107" s="29"/>
      <c r="F107" s="51" t="s">
        <v>47</v>
      </c>
      <c r="G107" s="7">
        <f>G83</f>
        <v>0</v>
      </c>
      <c r="H107" s="7">
        <f>H83</f>
        <v>0</v>
      </c>
      <c r="I107" s="7">
        <f>I83</f>
        <v>0</v>
      </c>
      <c r="J107" s="7">
        <f>J83</f>
        <v>0</v>
      </c>
      <c r="K107" s="7">
        <f>K83</f>
        <v>0</v>
      </c>
      <c r="L107" s="7">
        <f t="shared" si="52"/>
        <v>0</v>
      </c>
    </row>
    <row r="108" spans="1:12" ht="15.75" customHeight="1">
      <c r="D108" s="8"/>
      <c r="E108" s="29"/>
      <c r="F108" s="51" t="s">
        <v>48</v>
      </c>
      <c r="G108" s="7">
        <f>G73</f>
        <v>0</v>
      </c>
      <c r="H108" s="7">
        <f>H73</f>
        <v>0</v>
      </c>
      <c r="I108" s="7">
        <f>I73</f>
        <v>0</v>
      </c>
      <c r="J108" s="7">
        <f>J73</f>
        <v>0</v>
      </c>
      <c r="K108" s="7">
        <f>K73</f>
        <v>0</v>
      </c>
      <c r="L108" s="7">
        <f t="shared" si="52"/>
        <v>0</v>
      </c>
    </row>
    <row r="109" spans="1:12" ht="15.75" customHeight="1">
      <c r="D109" s="8"/>
      <c r="E109" s="29"/>
      <c r="F109" s="51" t="s">
        <v>49</v>
      </c>
      <c r="G109" s="7">
        <f>G66</f>
        <v>0</v>
      </c>
      <c r="H109" s="7">
        <f>H66</f>
        <v>0</v>
      </c>
      <c r="I109" s="7">
        <f>I66</f>
        <v>0</v>
      </c>
      <c r="J109" s="7">
        <f>J66</f>
        <v>0</v>
      </c>
      <c r="K109" s="7">
        <f>K66</f>
        <v>0</v>
      </c>
      <c r="L109" s="7">
        <f t="shared" si="52"/>
        <v>0</v>
      </c>
    </row>
    <row r="110" spans="1:12" ht="15.75" customHeight="1" thickBot="1">
      <c r="D110" s="8"/>
      <c r="E110" s="29"/>
      <c r="F110" s="51" t="s">
        <v>204</v>
      </c>
      <c r="G110" s="7">
        <f>G70</f>
        <v>0</v>
      </c>
      <c r="H110" s="7">
        <f>H70</f>
        <v>0</v>
      </c>
      <c r="I110" s="7">
        <f>I70</f>
        <v>0</v>
      </c>
      <c r="J110" s="7">
        <f>J70</f>
        <v>0</v>
      </c>
      <c r="K110" s="7">
        <f>K70</f>
        <v>0</v>
      </c>
      <c r="L110" s="7">
        <f t="shared" si="52"/>
        <v>0</v>
      </c>
    </row>
    <row r="111" spans="1:12" ht="15.75" customHeight="1" thickBot="1">
      <c r="D111" s="42"/>
      <c r="E111" s="31"/>
      <c r="F111" s="52" t="s">
        <v>21</v>
      </c>
      <c r="G111" s="53">
        <f t="shared" ref="G111:L111" si="53">G84</f>
        <v>0</v>
      </c>
      <c r="H111" s="53">
        <f t="shared" si="53"/>
        <v>0</v>
      </c>
      <c r="I111" s="53">
        <f t="shared" si="53"/>
        <v>0</v>
      </c>
      <c r="J111" s="53">
        <f t="shared" si="53"/>
        <v>0</v>
      </c>
      <c r="K111" s="53">
        <f t="shared" si="53"/>
        <v>0</v>
      </c>
      <c r="L111" s="53">
        <f t="shared" si="53"/>
        <v>0</v>
      </c>
    </row>
    <row r="112" spans="1:12" ht="15.75" customHeight="1" thickBot="1">
      <c r="A112" s="173" t="str">
        <f>+'Sponsor Budget'!A111</f>
        <v>update: 7/10/2014</v>
      </c>
      <c r="D112" s="8"/>
      <c r="E112" s="29"/>
      <c r="F112" s="51" t="s">
        <v>50</v>
      </c>
      <c r="G112" s="7">
        <f>G91</f>
        <v>0</v>
      </c>
      <c r="H112" s="7">
        <f>H91</f>
        <v>0</v>
      </c>
      <c r="I112" s="7">
        <f>I91</f>
        <v>0</v>
      </c>
      <c r="J112" s="7">
        <f>J91</f>
        <v>0</v>
      </c>
      <c r="K112" s="7">
        <f>K91</f>
        <v>0</v>
      </c>
      <c r="L112" s="7">
        <f>L91+L93+L94</f>
        <v>0</v>
      </c>
    </row>
    <row r="113" spans="1:12" ht="15.75" customHeight="1" thickBot="1">
      <c r="D113" s="42"/>
      <c r="E113" s="31"/>
      <c r="F113" s="52" t="s">
        <v>20</v>
      </c>
      <c r="G113" s="53">
        <f>G111+G112</f>
        <v>0</v>
      </c>
      <c r="H113" s="53">
        <f t="shared" ref="H113:K113" si="54">H111+H112</f>
        <v>0</v>
      </c>
      <c r="I113" s="53">
        <f t="shared" si="54"/>
        <v>0</v>
      </c>
      <c r="J113" s="53">
        <f t="shared" si="54"/>
        <v>0</v>
      </c>
      <c r="K113" s="53">
        <f t="shared" si="54"/>
        <v>0</v>
      </c>
      <c r="L113" s="53">
        <f>L95</f>
        <v>0</v>
      </c>
    </row>
    <row r="114" spans="1:12" ht="15.75" customHeight="1">
      <c r="A114" s="290" t="s">
        <v>350</v>
      </c>
    </row>
    <row r="115" spans="1:12" ht="15.75" customHeight="1">
      <c r="B115" s="104"/>
      <c r="C115" s="104"/>
      <c r="D115" s="104"/>
      <c r="E115" s="104"/>
      <c r="F115" s="104"/>
      <c r="G115" s="104"/>
      <c r="H115" s="104"/>
      <c r="I115" s="104"/>
      <c r="J115" s="105"/>
    </row>
    <row r="116" spans="1:12" ht="15.75" customHeight="1">
      <c r="A116" s="106"/>
      <c r="B116" s="104"/>
      <c r="C116" s="104"/>
      <c r="D116" s="104"/>
      <c r="E116" s="104"/>
      <c r="F116" s="104"/>
      <c r="G116" s="104"/>
      <c r="H116" s="104"/>
      <c r="I116" s="104"/>
      <c r="J116" s="105"/>
    </row>
    <row r="117" spans="1:12" ht="15.75" customHeight="1">
      <c r="A117" s="103"/>
      <c r="B117" s="104"/>
      <c r="C117" s="104"/>
      <c r="D117" s="104"/>
      <c r="E117" s="104"/>
      <c r="F117" s="104"/>
      <c r="G117" s="104"/>
      <c r="H117" s="104"/>
      <c r="I117" s="104"/>
      <c r="J117" s="105"/>
    </row>
    <row r="118" spans="1:12" ht="15.75" customHeight="1">
      <c r="A118" s="103"/>
      <c r="B118" s="104"/>
      <c r="C118" s="104"/>
      <c r="D118" s="104"/>
      <c r="E118" s="104"/>
      <c r="F118" s="104"/>
      <c r="G118" s="104"/>
      <c r="H118" s="104"/>
      <c r="I118" s="104"/>
      <c r="J118" s="105"/>
    </row>
    <row r="119" spans="1:12" ht="15.75" customHeight="1">
      <c r="A119" s="107"/>
      <c r="B119" s="102"/>
      <c r="C119" s="102"/>
    </row>
    <row r="120" spans="1:12" ht="15.75" customHeight="1">
      <c r="A120" s="107"/>
      <c r="C120" s="102"/>
    </row>
    <row r="121" spans="1:12" ht="15.75" customHeight="1">
      <c r="A121" s="107"/>
      <c r="C121" s="102"/>
    </row>
    <row r="122" spans="1:12" ht="15.75" customHeight="1">
      <c r="A122" s="107"/>
    </row>
  </sheetData>
  <mergeCells count="9">
    <mergeCell ref="A100:B102"/>
    <mergeCell ref="A103:B104"/>
    <mergeCell ref="M21:R23"/>
    <mergeCell ref="A1:K1"/>
    <mergeCell ref="M51:R54"/>
    <mergeCell ref="D98:F98"/>
    <mergeCell ref="G95:K95"/>
    <mergeCell ref="M29:R31"/>
    <mergeCell ref="M6:R8"/>
  </mergeCells>
  <hyperlinks>
    <hyperlink ref="B68" r:id="rId1" location="state "/>
  </hyperlinks>
  <printOptions horizontalCentered="1"/>
  <pageMargins left="0.25" right="0.25" top="0.25" bottom="0.22" header="0.28000000000000003" footer="0.17"/>
  <pageSetup scale="48" orientation="portrait" r:id="rId2"/>
  <headerFooter alignWithMargins="0">
    <oddFooter>&amp;R&amp;"Century Gothic,Regular"&amp;Z&amp;F</oddFooter>
  </headerFooter>
  <rowBreaks count="1" manualBreakCount="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activeCell="H21" sqref="H21"/>
    </sheetView>
  </sheetViews>
  <sheetFormatPr defaultColWidth="9.7109375" defaultRowHeight="15"/>
  <cols>
    <col min="1" max="1" width="23.7109375" style="320" customWidth="1"/>
    <col min="2" max="2" width="13.7109375" style="320" bestFit="1" customWidth="1"/>
    <col min="3" max="3" width="2.7109375" style="320" customWidth="1"/>
    <col min="4" max="4" width="32.28515625" style="320" customWidth="1"/>
    <col min="5" max="5" width="12.5703125" style="321" customWidth="1"/>
    <col min="6" max="6" width="2.7109375" style="320" customWidth="1"/>
    <col min="7" max="7" width="32.28515625" style="320" customWidth="1"/>
    <col min="8" max="8" width="12.5703125" style="320" customWidth="1"/>
    <col min="9" max="9" width="2.7109375" style="320" customWidth="1"/>
    <col min="10" max="10" width="24.28515625" style="320" customWidth="1"/>
    <col min="11" max="11" width="12.5703125" style="320" customWidth="1"/>
    <col min="12" max="256" width="9.7109375" style="320"/>
    <col min="257" max="257" width="23.7109375" style="320" customWidth="1"/>
    <col min="258" max="258" width="13.7109375" style="320" bestFit="1" customWidth="1"/>
    <col min="259" max="259" width="2.7109375" style="320" customWidth="1"/>
    <col min="260" max="260" width="32.28515625" style="320" customWidth="1"/>
    <col min="261" max="261" width="12.5703125" style="320" customWidth="1"/>
    <col min="262" max="262" width="2.7109375" style="320" customWidth="1"/>
    <col min="263" max="263" width="32.28515625" style="320" customWidth="1"/>
    <col min="264" max="264" width="12.5703125" style="320" customWidth="1"/>
    <col min="265" max="265" width="2.7109375" style="320" customWidth="1"/>
    <col min="266" max="266" width="24.28515625" style="320" customWidth="1"/>
    <col min="267" max="267" width="12.5703125" style="320" customWidth="1"/>
    <col min="268" max="512" width="9.7109375" style="320"/>
    <col min="513" max="513" width="23.7109375" style="320" customWidth="1"/>
    <col min="514" max="514" width="13.7109375" style="320" bestFit="1" customWidth="1"/>
    <col min="515" max="515" width="2.7109375" style="320" customWidth="1"/>
    <col min="516" max="516" width="32.28515625" style="320" customWidth="1"/>
    <col min="517" max="517" width="12.5703125" style="320" customWidth="1"/>
    <col min="518" max="518" width="2.7109375" style="320" customWidth="1"/>
    <col min="519" max="519" width="32.28515625" style="320" customWidth="1"/>
    <col min="520" max="520" width="12.5703125" style="320" customWidth="1"/>
    <col min="521" max="521" width="2.7109375" style="320" customWidth="1"/>
    <col min="522" max="522" width="24.28515625" style="320" customWidth="1"/>
    <col min="523" max="523" width="12.5703125" style="320" customWidth="1"/>
    <col min="524" max="768" width="9.7109375" style="320"/>
    <col min="769" max="769" width="23.7109375" style="320" customWidth="1"/>
    <col min="770" max="770" width="13.7109375" style="320" bestFit="1" customWidth="1"/>
    <col min="771" max="771" width="2.7109375" style="320" customWidth="1"/>
    <col min="772" max="772" width="32.28515625" style="320" customWidth="1"/>
    <col min="773" max="773" width="12.5703125" style="320" customWidth="1"/>
    <col min="774" max="774" width="2.7109375" style="320" customWidth="1"/>
    <col min="775" max="775" width="32.28515625" style="320" customWidth="1"/>
    <col min="776" max="776" width="12.5703125" style="320" customWidth="1"/>
    <col min="777" max="777" width="2.7109375" style="320" customWidth="1"/>
    <col min="778" max="778" width="24.28515625" style="320" customWidth="1"/>
    <col min="779" max="779" width="12.5703125" style="320" customWidth="1"/>
    <col min="780" max="1024" width="9.7109375" style="320"/>
    <col min="1025" max="1025" width="23.7109375" style="320" customWidth="1"/>
    <col min="1026" max="1026" width="13.7109375" style="320" bestFit="1" customWidth="1"/>
    <col min="1027" max="1027" width="2.7109375" style="320" customWidth="1"/>
    <col min="1028" max="1028" width="32.28515625" style="320" customWidth="1"/>
    <col min="1029" max="1029" width="12.5703125" style="320" customWidth="1"/>
    <col min="1030" max="1030" width="2.7109375" style="320" customWidth="1"/>
    <col min="1031" max="1031" width="32.28515625" style="320" customWidth="1"/>
    <col min="1032" max="1032" width="12.5703125" style="320" customWidth="1"/>
    <col min="1033" max="1033" width="2.7109375" style="320" customWidth="1"/>
    <col min="1034" max="1034" width="24.28515625" style="320" customWidth="1"/>
    <col min="1035" max="1035" width="12.5703125" style="320" customWidth="1"/>
    <col min="1036" max="1280" width="9.7109375" style="320"/>
    <col min="1281" max="1281" width="23.7109375" style="320" customWidth="1"/>
    <col min="1282" max="1282" width="13.7109375" style="320" bestFit="1" customWidth="1"/>
    <col min="1283" max="1283" width="2.7109375" style="320" customWidth="1"/>
    <col min="1284" max="1284" width="32.28515625" style="320" customWidth="1"/>
    <col min="1285" max="1285" width="12.5703125" style="320" customWidth="1"/>
    <col min="1286" max="1286" width="2.7109375" style="320" customWidth="1"/>
    <col min="1287" max="1287" width="32.28515625" style="320" customWidth="1"/>
    <col min="1288" max="1288" width="12.5703125" style="320" customWidth="1"/>
    <col min="1289" max="1289" width="2.7109375" style="320" customWidth="1"/>
    <col min="1290" max="1290" width="24.28515625" style="320" customWidth="1"/>
    <col min="1291" max="1291" width="12.5703125" style="320" customWidth="1"/>
    <col min="1292" max="1536" width="9.7109375" style="320"/>
    <col min="1537" max="1537" width="23.7109375" style="320" customWidth="1"/>
    <col min="1538" max="1538" width="13.7109375" style="320" bestFit="1" customWidth="1"/>
    <col min="1539" max="1539" width="2.7109375" style="320" customWidth="1"/>
    <col min="1540" max="1540" width="32.28515625" style="320" customWidth="1"/>
    <col min="1541" max="1541" width="12.5703125" style="320" customWidth="1"/>
    <col min="1542" max="1542" width="2.7109375" style="320" customWidth="1"/>
    <col min="1543" max="1543" width="32.28515625" style="320" customWidth="1"/>
    <col min="1544" max="1544" width="12.5703125" style="320" customWidth="1"/>
    <col min="1545" max="1545" width="2.7109375" style="320" customWidth="1"/>
    <col min="1546" max="1546" width="24.28515625" style="320" customWidth="1"/>
    <col min="1547" max="1547" width="12.5703125" style="320" customWidth="1"/>
    <col min="1548" max="1792" width="9.7109375" style="320"/>
    <col min="1793" max="1793" width="23.7109375" style="320" customWidth="1"/>
    <col min="1794" max="1794" width="13.7109375" style="320" bestFit="1" customWidth="1"/>
    <col min="1795" max="1795" width="2.7109375" style="320" customWidth="1"/>
    <col min="1796" max="1796" width="32.28515625" style="320" customWidth="1"/>
    <col min="1797" max="1797" width="12.5703125" style="320" customWidth="1"/>
    <col min="1798" max="1798" width="2.7109375" style="320" customWidth="1"/>
    <col min="1799" max="1799" width="32.28515625" style="320" customWidth="1"/>
    <col min="1800" max="1800" width="12.5703125" style="320" customWidth="1"/>
    <col min="1801" max="1801" width="2.7109375" style="320" customWidth="1"/>
    <col min="1802" max="1802" width="24.28515625" style="320" customWidth="1"/>
    <col min="1803" max="1803" width="12.5703125" style="320" customWidth="1"/>
    <col min="1804" max="2048" width="9.7109375" style="320"/>
    <col min="2049" max="2049" width="23.7109375" style="320" customWidth="1"/>
    <col min="2050" max="2050" width="13.7109375" style="320" bestFit="1" customWidth="1"/>
    <col min="2051" max="2051" width="2.7109375" style="320" customWidth="1"/>
    <col min="2052" max="2052" width="32.28515625" style="320" customWidth="1"/>
    <col min="2053" max="2053" width="12.5703125" style="320" customWidth="1"/>
    <col min="2054" max="2054" width="2.7109375" style="320" customWidth="1"/>
    <col min="2055" max="2055" width="32.28515625" style="320" customWidth="1"/>
    <col min="2056" max="2056" width="12.5703125" style="320" customWidth="1"/>
    <col min="2057" max="2057" width="2.7109375" style="320" customWidth="1"/>
    <col min="2058" max="2058" width="24.28515625" style="320" customWidth="1"/>
    <col min="2059" max="2059" width="12.5703125" style="320" customWidth="1"/>
    <col min="2060" max="2304" width="9.7109375" style="320"/>
    <col min="2305" max="2305" width="23.7109375" style="320" customWidth="1"/>
    <col min="2306" max="2306" width="13.7109375" style="320" bestFit="1" customWidth="1"/>
    <col min="2307" max="2307" width="2.7109375" style="320" customWidth="1"/>
    <col min="2308" max="2308" width="32.28515625" style="320" customWidth="1"/>
    <col min="2309" max="2309" width="12.5703125" style="320" customWidth="1"/>
    <col min="2310" max="2310" width="2.7109375" style="320" customWidth="1"/>
    <col min="2311" max="2311" width="32.28515625" style="320" customWidth="1"/>
    <col min="2312" max="2312" width="12.5703125" style="320" customWidth="1"/>
    <col min="2313" max="2313" width="2.7109375" style="320" customWidth="1"/>
    <col min="2314" max="2314" width="24.28515625" style="320" customWidth="1"/>
    <col min="2315" max="2315" width="12.5703125" style="320" customWidth="1"/>
    <col min="2316" max="2560" width="9.7109375" style="320"/>
    <col min="2561" max="2561" width="23.7109375" style="320" customWidth="1"/>
    <col min="2562" max="2562" width="13.7109375" style="320" bestFit="1" customWidth="1"/>
    <col min="2563" max="2563" width="2.7109375" style="320" customWidth="1"/>
    <col min="2564" max="2564" width="32.28515625" style="320" customWidth="1"/>
    <col min="2565" max="2565" width="12.5703125" style="320" customWidth="1"/>
    <col min="2566" max="2566" width="2.7109375" style="320" customWidth="1"/>
    <col min="2567" max="2567" width="32.28515625" style="320" customWidth="1"/>
    <col min="2568" max="2568" width="12.5703125" style="320" customWidth="1"/>
    <col min="2569" max="2569" width="2.7109375" style="320" customWidth="1"/>
    <col min="2570" max="2570" width="24.28515625" style="320" customWidth="1"/>
    <col min="2571" max="2571" width="12.5703125" style="320" customWidth="1"/>
    <col min="2572" max="2816" width="9.7109375" style="320"/>
    <col min="2817" max="2817" width="23.7109375" style="320" customWidth="1"/>
    <col min="2818" max="2818" width="13.7109375" style="320" bestFit="1" customWidth="1"/>
    <col min="2819" max="2819" width="2.7109375" style="320" customWidth="1"/>
    <col min="2820" max="2820" width="32.28515625" style="320" customWidth="1"/>
    <col min="2821" max="2821" width="12.5703125" style="320" customWidth="1"/>
    <col min="2822" max="2822" width="2.7109375" style="320" customWidth="1"/>
    <col min="2823" max="2823" width="32.28515625" style="320" customWidth="1"/>
    <col min="2824" max="2824" width="12.5703125" style="320" customWidth="1"/>
    <col min="2825" max="2825" width="2.7109375" style="320" customWidth="1"/>
    <col min="2826" max="2826" width="24.28515625" style="320" customWidth="1"/>
    <col min="2827" max="2827" width="12.5703125" style="320" customWidth="1"/>
    <col min="2828" max="3072" width="9.7109375" style="320"/>
    <col min="3073" max="3073" width="23.7109375" style="320" customWidth="1"/>
    <col min="3074" max="3074" width="13.7109375" style="320" bestFit="1" customWidth="1"/>
    <col min="3075" max="3075" width="2.7109375" style="320" customWidth="1"/>
    <col min="3076" max="3076" width="32.28515625" style="320" customWidth="1"/>
    <col min="3077" max="3077" width="12.5703125" style="320" customWidth="1"/>
    <col min="3078" max="3078" width="2.7109375" style="320" customWidth="1"/>
    <col min="3079" max="3079" width="32.28515625" style="320" customWidth="1"/>
    <col min="3080" max="3080" width="12.5703125" style="320" customWidth="1"/>
    <col min="3081" max="3081" width="2.7109375" style="320" customWidth="1"/>
    <col min="3082" max="3082" width="24.28515625" style="320" customWidth="1"/>
    <col min="3083" max="3083" width="12.5703125" style="320" customWidth="1"/>
    <col min="3084" max="3328" width="9.7109375" style="320"/>
    <col min="3329" max="3329" width="23.7109375" style="320" customWidth="1"/>
    <col min="3330" max="3330" width="13.7109375" style="320" bestFit="1" customWidth="1"/>
    <col min="3331" max="3331" width="2.7109375" style="320" customWidth="1"/>
    <col min="3332" max="3332" width="32.28515625" style="320" customWidth="1"/>
    <col min="3333" max="3333" width="12.5703125" style="320" customWidth="1"/>
    <col min="3334" max="3334" width="2.7109375" style="320" customWidth="1"/>
    <col min="3335" max="3335" width="32.28515625" style="320" customWidth="1"/>
    <col min="3336" max="3336" width="12.5703125" style="320" customWidth="1"/>
    <col min="3337" max="3337" width="2.7109375" style="320" customWidth="1"/>
    <col min="3338" max="3338" width="24.28515625" style="320" customWidth="1"/>
    <col min="3339" max="3339" width="12.5703125" style="320" customWidth="1"/>
    <col min="3340" max="3584" width="9.7109375" style="320"/>
    <col min="3585" max="3585" width="23.7109375" style="320" customWidth="1"/>
    <col min="3586" max="3586" width="13.7109375" style="320" bestFit="1" customWidth="1"/>
    <col min="3587" max="3587" width="2.7109375" style="320" customWidth="1"/>
    <col min="3588" max="3588" width="32.28515625" style="320" customWidth="1"/>
    <col min="3589" max="3589" width="12.5703125" style="320" customWidth="1"/>
    <col min="3590" max="3590" width="2.7109375" style="320" customWidth="1"/>
    <col min="3591" max="3591" width="32.28515625" style="320" customWidth="1"/>
    <col min="3592" max="3592" width="12.5703125" style="320" customWidth="1"/>
    <col min="3593" max="3593" width="2.7109375" style="320" customWidth="1"/>
    <col min="3594" max="3594" width="24.28515625" style="320" customWidth="1"/>
    <col min="3595" max="3595" width="12.5703125" style="320" customWidth="1"/>
    <col min="3596" max="3840" width="9.7109375" style="320"/>
    <col min="3841" max="3841" width="23.7109375" style="320" customWidth="1"/>
    <col min="3842" max="3842" width="13.7109375" style="320" bestFit="1" customWidth="1"/>
    <col min="3843" max="3843" width="2.7109375" style="320" customWidth="1"/>
    <col min="3844" max="3844" width="32.28515625" style="320" customWidth="1"/>
    <col min="3845" max="3845" width="12.5703125" style="320" customWidth="1"/>
    <col min="3846" max="3846" width="2.7109375" style="320" customWidth="1"/>
    <col min="3847" max="3847" width="32.28515625" style="320" customWidth="1"/>
    <col min="3848" max="3848" width="12.5703125" style="320" customWidth="1"/>
    <col min="3849" max="3849" width="2.7109375" style="320" customWidth="1"/>
    <col min="3850" max="3850" width="24.28515625" style="320" customWidth="1"/>
    <col min="3851" max="3851" width="12.5703125" style="320" customWidth="1"/>
    <col min="3852" max="4096" width="9.7109375" style="320"/>
    <col min="4097" max="4097" width="23.7109375" style="320" customWidth="1"/>
    <col min="4098" max="4098" width="13.7109375" style="320" bestFit="1" customWidth="1"/>
    <col min="4099" max="4099" width="2.7109375" style="320" customWidth="1"/>
    <col min="4100" max="4100" width="32.28515625" style="320" customWidth="1"/>
    <col min="4101" max="4101" width="12.5703125" style="320" customWidth="1"/>
    <col min="4102" max="4102" width="2.7109375" style="320" customWidth="1"/>
    <col min="4103" max="4103" width="32.28515625" style="320" customWidth="1"/>
    <col min="4104" max="4104" width="12.5703125" style="320" customWidth="1"/>
    <col min="4105" max="4105" width="2.7109375" style="320" customWidth="1"/>
    <col min="4106" max="4106" width="24.28515625" style="320" customWidth="1"/>
    <col min="4107" max="4107" width="12.5703125" style="320" customWidth="1"/>
    <col min="4108" max="4352" width="9.7109375" style="320"/>
    <col min="4353" max="4353" width="23.7109375" style="320" customWidth="1"/>
    <col min="4354" max="4354" width="13.7109375" style="320" bestFit="1" customWidth="1"/>
    <col min="4355" max="4355" width="2.7109375" style="320" customWidth="1"/>
    <col min="4356" max="4356" width="32.28515625" style="320" customWidth="1"/>
    <col min="4357" max="4357" width="12.5703125" style="320" customWidth="1"/>
    <col min="4358" max="4358" width="2.7109375" style="320" customWidth="1"/>
    <col min="4359" max="4359" width="32.28515625" style="320" customWidth="1"/>
    <col min="4360" max="4360" width="12.5703125" style="320" customWidth="1"/>
    <col min="4361" max="4361" width="2.7109375" style="320" customWidth="1"/>
    <col min="4362" max="4362" width="24.28515625" style="320" customWidth="1"/>
    <col min="4363" max="4363" width="12.5703125" style="320" customWidth="1"/>
    <col min="4364" max="4608" width="9.7109375" style="320"/>
    <col min="4609" max="4609" width="23.7109375" style="320" customWidth="1"/>
    <col min="4610" max="4610" width="13.7109375" style="320" bestFit="1" customWidth="1"/>
    <col min="4611" max="4611" width="2.7109375" style="320" customWidth="1"/>
    <col min="4612" max="4612" width="32.28515625" style="320" customWidth="1"/>
    <col min="4613" max="4613" width="12.5703125" style="320" customWidth="1"/>
    <col min="4614" max="4614" width="2.7109375" style="320" customWidth="1"/>
    <col min="4615" max="4615" width="32.28515625" style="320" customWidth="1"/>
    <col min="4616" max="4616" width="12.5703125" style="320" customWidth="1"/>
    <col min="4617" max="4617" width="2.7109375" style="320" customWidth="1"/>
    <col min="4618" max="4618" width="24.28515625" style="320" customWidth="1"/>
    <col min="4619" max="4619" width="12.5703125" style="320" customWidth="1"/>
    <col min="4620" max="4864" width="9.7109375" style="320"/>
    <col min="4865" max="4865" width="23.7109375" style="320" customWidth="1"/>
    <col min="4866" max="4866" width="13.7109375" style="320" bestFit="1" customWidth="1"/>
    <col min="4867" max="4867" width="2.7109375" style="320" customWidth="1"/>
    <col min="4868" max="4868" width="32.28515625" style="320" customWidth="1"/>
    <col min="4869" max="4869" width="12.5703125" style="320" customWidth="1"/>
    <col min="4870" max="4870" width="2.7109375" style="320" customWidth="1"/>
    <col min="4871" max="4871" width="32.28515625" style="320" customWidth="1"/>
    <col min="4872" max="4872" width="12.5703125" style="320" customWidth="1"/>
    <col min="4873" max="4873" width="2.7109375" style="320" customWidth="1"/>
    <col min="4874" max="4874" width="24.28515625" style="320" customWidth="1"/>
    <col min="4875" max="4875" width="12.5703125" style="320" customWidth="1"/>
    <col min="4876" max="5120" width="9.7109375" style="320"/>
    <col min="5121" max="5121" width="23.7109375" style="320" customWidth="1"/>
    <col min="5122" max="5122" width="13.7109375" style="320" bestFit="1" customWidth="1"/>
    <col min="5123" max="5123" width="2.7109375" style="320" customWidth="1"/>
    <col min="5124" max="5124" width="32.28515625" style="320" customWidth="1"/>
    <col min="5125" max="5125" width="12.5703125" style="320" customWidth="1"/>
    <col min="5126" max="5126" width="2.7109375" style="320" customWidth="1"/>
    <col min="5127" max="5127" width="32.28515625" style="320" customWidth="1"/>
    <col min="5128" max="5128" width="12.5703125" style="320" customWidth="1"/>
    <col min="5129" max="5129" width="2.7109375" style="320" customWidth="1"/>
    <col min="5130" max="5130" width="24.28515625" style="320" customWidth="1"/>
    <col min="5131" max="5131" width="12.5703125" style="320" customWidth="1"/>
    <col min="5132" max="5376" width="9.7109375" style="320"/>
    <col min="5377" max="5377" width="23.7109375" style="320" customWidth="1"/>
    <col min="5378" max="5378" width="13.7109375" style="320" bestFit="1" customWidth="1"/>
    <col min="5379" max="5379" width="2.7109375" style="320" customWidth="1"/>
    <col min="5380" max="5380" width="32.28515625" style="320" customWidth="1"/>
    <col min="5381" max="5381" width="12.5703125" style="320" customWidth="1"/>
    <col min="5382" max="5382" width="2.7109375" style="320" customWidth="1"/>
    <col min="5383" max="5383" width="32.28515625" style="320" customWidth="1"/>
    <col min="5384" max="5384" width="12.5703125" style="320" customWidth="1"/>
    <col min="5385" max="5385" width="2.7109375" style="320" customWidth="1"/>
    <col min="5386" max="5386" width="24.28515625" style="320" customWidth="1"/>
    <col min="5387" max="5387" width="12.5703125" style="320" customWidth="1"/>
    <col min="5388" max="5632" width="9.7109375" style="320"/>
    <col min="5633" max="5633" width="23.7109375" style="320" customWidth="1"/>
    <col min="5634" max="5634" width="13.7109375" style="320" bestFit="1" customWidth="1"/>
    <col min="5635" max="5635" width="2.7109375" style="320" customWidth="1"/>
    <col min="5636" max="5636" width="32.28515625" style="320" customWidth="1"/>
    <col min="5637" max="5637" width="12.5703125" style="320" customWidth="1"/>
    <col min="5638" max="5638" width="2.7109375" style="320" customWidth="1"/>
    <col min="5639" max="5639" width="32.28515625" style="320" customWidth="1"/>
    <col min="5640" max="5640" width="12.5703125" style="320" customWidth="1"/>
    <col min="5641" max="5641" width="2.7109375" style="320" customWidth="1"/>
    <col min="5642" max="5642" width="24.28515625" style="320" customWidth="1"/>
    <col min="5643" max="5643" width="12.5703125" style="320" customWidth="1"/>
    <col min="5644" max="5888" width="9.7109375" style="320"/>
    <col min="5889" max="5889" width="23.7109375" style="320" customWidth="1"/>
    <col min="5890" max="5890" width="13.7109375" style="320" bestFit="1" customWidth="1"/>
    <col min="5891" max="5891" width="2.7109375" style="320" customWidth="1"/>
    <col min="5892" max="5892" width="32.28515625" style="320" customWidth="1"/>
    <col min="5893" max="5893" width="12.5703125" style="320" customWidth="1"/>
    <col min="5894" max="5894" width="2.7109375" style="320" customWidth="1"/>
    <col min="5895" max="5895" width="32.28515625" style="320" customWidth="1"/>
    <col min="5896" max="5896" width="12.5703125" style="320" customWidth="1"/>
    <col min="5897" max="5897" width="2.7109375" style="320" customWidth="1"/>
    <col min="5898" max="5898" width="24.28515625" style="320" customWidth="1"/>
    <col min="5899" max="5899" width="12.5703125" style="320" customWidth="1"/>
    <col min="5900" max="6144" width="9.7109375" style="320"/>
    <col min="6145" max="6145" width="23.7109375" style="320" customWidth="1"/>
    <col min="6146" max="6146" width="13.7109375" style="320" bestFit="1" customWidth="1"/>
    <col min="6147" max="6147" width="2.7109375" style="320" customWidth="1"/>
    <col min="6148" max="6148" width="32.28515625" style="320" customWidth="1"/>
    <col min="6149" max="6149" width="12.5703125" style="320" customWidth="1"/>
    <col min="6150" max="6150" width="2.7109375" style="320" customWidth="1"/>
    <col min="6151" max="6151" width="32.28515625" style="320" customWidth="1"/>
    <col min="6152" max="6152" width="12.5703125" style="320" customWidth="1"/>
    <col min="6153" max="6153" width="2.7109375" style="320" customWidth="1"/>
    <col min="6154" max="6154" width="24.28515625" style="320" customWidth="1"/>
    <col min="6155" max="6155" width="12.5703125" style="320" customWidth="1"/>
    <col min="6156" max="6400" width="9.7109375" style="320"/>
    <col min="6401" max="6401" width="23.7109375" style="320" customWidth="1"/>
    <col min="6402" max="6402" width="13.7109375" style="320" bestFit="1" customWidth="1"/>
    <col min="6403" max="6403" width="2.7109375" style="320" customWidth="1"/>
    <col min="6404" max="6404" width="32.28515625" style="320" customWidth="1"/>
    <col min="6405" max="6405" width="12.5703125" style="320" customWidth="1"/>
    <col min="6406" max="6406" width="2.7109375" style="320" customWidth="1"/>
    <col min="6407" max="6407" width="32.28515625" style="320" customWidth="1"/>
    <col min="6408" max="6408" width="12.5703125" style="320" customWidth="1"/>
    <col min="6409" max="6409" width="2.7109375" style="320" customWidth="1"/>
    <col min="6410" max="6410" width="24.28515625" style="320" customWidth="1"/>
    <col min="6411" max="6411" width="12.5703125" style="320" customWidth="1"/>
    <col min="6412" max="6656" width="9.7109375" style="320"/>
    <col min="6657" max="6657" width="23.7109375" style="320" customWidth="1"/>
    <col min="6658" max="6658" width="13.7109375" style="320" bestFit="1" customWidth="1"/>
    <col min="6659" max="6659" width="2.7109375" style="320" customWidth="1"/>
    <col min="6660" max="6660" width="32.28515625" style="320" customWidth="1"/>
    <col min="6661" max="6661" width="12.5703125" style="320" customWidth="1"/>
    <col min="6662" max="6662" width="2.7109375" style="320" customWidth="1"/>
    <col min="6663" max="6663" width="32.28515625" style="320" customWidth="1"/>
    <col min="6664" max="6664" width="12.5703125" style="320" customWidth="1"/>
    <col min="6665" max="6665" width="2.7109375" style="320" customWidth="1"/>
    <col min="6666" max="6666" width="24.28515625" style="320" customWidth="1"/>
    <col min="6667" max="6667" width="12.5703125" style="320" customWidth="1"/>
    <col min="6668" max="6912" width="9.7109375" style="320"/>
    <col min="6913" max="6913" width="23.7109375" style="320" customWidth="1"/>
    <col min="6914" max="6914" width="13.7109375" style="320" bestFit="1" customWidth="1"/>
    <col min="6915" max="6915" width="2.7109375" style="320" customWidth="1"/>
    <col min="6916" max="6916" width="32.28515625" style="320" customWidth="1"/>
    <col min="6917" max="6917" width="12.5703125" style="320" customWidth="1"/>
    <col min="6918" max="6918" width="2.7109375" style="320" customWidth="1"/>
    <col min="6919" max="6919" width="32.28515625" style="320" customWidth="1"/>
    <col min="6920" max="6920" width="12.5703125" style="320" customWidth="1"/>
    <col min="6921" max="6921" width="2.7109375" style="320" customWidth="1"/>
    <col min="6922" max="6922" width="24.28515625" style="320" customWidth="1"/>
    <col min="6923" max="6923" width="12.5703125" style="320" customWidth="1"/>
    <col min="6924" max="7168" width="9.7109375" style="320"/>
    <col min="7169" max="7169" width="23.7109375" style="320" customWidth="1"/>
    <col min="7170" max="7170" width="13.7109375" style="320" bestFit="1" customWidth="1"/>
    <col min="7171" max="7171" width="2.7109375" style="320" customWidth="1"/>
    <col min="7172" max="7172" width="32.28515625" style="320" customWidth="1"/>
    <col min="7173" max="7173" width="12.5703125" style="320" customWidth="1"/>
    <col min="7174" max="7174" width="2.7109375" style="320" customWidth="1"/>
    <col min="7175" max="7175" width="32.28515625" style="320" customWidth="1"/>
    <col min="7176" max="7176" width="12.5703125" style="320" customWidth="1"/>
    <col min="7177" max="7177" width="2.7109375" style="320" customWidth="1"/>
    <col min="7178" max="7178" width="24.28515625" style="320" customWidth="1"/>
    <col min="7179" max="7179" width="12.5703125" style="320" customWidth="1"/>
    <col min="7180" max="7424" width="9.7109375" style="320"/>
    <col min="7425" max="7425" width="23.7109375" style="320" customWidth="1"/>
    <col min="7426" max="7426" width="13.7109375" style="320" bestFit="1" customWidth="1"/>
    <col min="7427" max="7427" width="2.7109375" style="320" customWidth="1"/>
    <col min="7428" max="7428" width="32.28515625" style="320" customWidth="1"/>
    <col min="7429" max="7429" width="12.5703125" style="320" customWidth="1"/>
    <col min="7430" max="7430" width="2.7109375" style="320" customWidth="1"/>
    <col min="7431" max="7431" width="32.28515625" style="320" customWidth="1"/>
    <col min="7432" max="7432" width="12.5703125" style="320" customWidth="1"/>
    <col min="7433" max="7433" width="2.7109375" style="320" customWidth="1"/>
    <col min="7434" max="7434" width="24.28515625" style="320" customWidth="1"/>
    <col min="7435" max="7435" width="12.5703125" style="320" customWidth="1"/>
    <col min="7436" max="7680" width="9.7109375" style="320"/>
    <col min="7681" max="7681" width="23.7109375" style="320" customWidth="1"/>
    <col min="7682" max="7682" width="13.7109375" style="320" bestFit="1" customWidth="1"/>
    <col min="7683" max="7683" width="2.7109375" style="320" customWidth="1"/>
    <col min="7684" max="7684" width="32.28515625" style="320" customWidth="1"/>
    <col min="7685" max="7685" width="12.5703125" style="320" customWidth="1"/>
    <col min="7686" max="7686" width="2.7109375" style="320" customWidth="1"/>
    <col min="7687" max="7687" width="32.28515625" style="320" customWidth="1"/>
    <col min="7688" max="7688" width="12.5703125" style="320" customWidth="1"/>
    <col min="7689" max="7689" width="2.7109375" style="320" customWidth="1"/>
    <col min="7690" max="7690" width="24.28515625" style="320" customWidth="1"/>
    <col min="7691" max="7691" width="12.5703125" style="320" customWidth="1"/>
    <col min="7692" max="7936" width="9.7109375" style="320"/>
    <col min="7937" max="7937" width="23.7109375" style="320" customWidth="1"/>
    <col min="7938" max="7938" width="13.7109375" style="320" bestFit="1" customWidth="1"/>
    <col min="7939" max="7939" width="2.7109375" style="320" customWidth="1"/>
    <col min="7940" max="7940" width="32.28515625" style="320" customWidth="1"/>
    <col min="7941" max="7941" width="12.5703125" style="320" customWidth="1"/>
    <col min="7942" max="7942" width="2.7109375" style="320" customWidth="1"/>
    <col min="7943" max="7943" width="32.28515625" style="320" customWidth="1"/>
    <col min="7944" max="7944" width="12.5703125" style="320" customWidth="1"/>
    <col min="7945" max="7945" width="2.7109375" style="320" customWidth="1"/>
    <col min="7946" max="7946" width="24.28515625" style="320" customWidth="1"/>
    <col min="7947" max="7947" width="12.5703125" style="320" customWidth="1"/>
    <col min="7948" max="8192" width="9.7109375" style="320"/>
    <col min="8193" max="8193" width="23.7109375" style="320" customWidth="1"/>
    <col min="8194" max="8194" width="13.7109375" style="320" bestFit="1" customWidth="1"/>
    <col min="8195" max="8195" width="2.7109375" style="320" customWidth="1"/>
    <col min="8196" max="8196" width="32.28515625" style="320" customWidth="1"/>
    <col min="8197" max="8197" width="12.5703125" style="320" customWidth="1"/>
    <col min="8198" max="8198" width="2.7109375" style="320" customWidth="1"/>
    <col min="8199" max="8199" width="32.28515625" style="320" customWidth="1"/>
    <col min="8200" max="8200" width="12.5703125" style="320" customWidth="1"/>
    <col min="8201" max="8201" width="2.7109375" style="320" customWidth="1"/>
    <col min="8202" max="8202" width="24.28515625" style="320" customWidth="1"/>
    <col min="8203" max="8203" width="12.5703125" style="320" customWidth="1"/>
    <col min="8204" max="8448" width="9.7109375" style="320"/>
    <col min="8449" max="8449" width="23.7109375" style="320" customWidth="1"/>
    <col min="8450" max="8450" width="13.7109375" style="320" bestFit="1" customWidth="1"/>
    <col min="8451" max="8451" width="2.7109375" style="320" customWidth="1"/>
    <col min="8452" max="8452" width="32.28515625" style="320" customWidth="1"/>
    <col min="8453" max="8453" width="12.5703125" style="320" customWidth="1"/>
    <col min="8454" max="8454" width="2.7109375" style="320" customWidth="1"/>
    <col min="8455" max="8455" width="32.28515625" style="320" customWidth="1"/>
    <col min="8456" max="8456" width="12.5703125" style="320" customWidth="1"/>
    <col min="8457" max="8457" width="2.7109375" style="320" customWidth="1"/>
    <col min="8458" max="8458" width="24.28515625" style="320" customWidth="1"/>
    <col min="8459" max="8459" width="12.5703125" style="320" customWidth="1"/>
    <col min="8460" max="8704" width="9.7109375" style="320"/>
    <col min="8705" max="8705" width="23.7109375" style="320" customWidth="1"/>
    <col min="8706" max="8706" width="13.7109375" style="320" bestFit="1" customWidth="1"/>
    <col min="8707" max="8707" width="2.7109375" style="320" customWidth="1"/>
    <col min="8708" max="8708" width="32.28515625" style="320" customWidth="1"/>
    <col min="8709" max="8709" width="12.5703125" style="320" customWidth="1"/>
    <col min="8710" max="8710" width="2.7109375" style="320" customWidth="1"/>
    <col min="8711" max="8711" width="32.28515625" style="320" customWidth="1"/>
    <col min="8712" max="8712" width="12.5703125" style="320" customWidth="1"/>
    <col min="8713" max="8713" width="2.7109375" style="320" customWidth="1"/>
    <col min="8714" max="8714" width="24.28515625" style="320" customWidth="1"/>
    <col min="8715" max="8715" width="12.5703125" style="320" customWidth="1"/>
    <col min="8716" max="8960" width="9.7109375" style="320"/>
    <col min="8961" max="8961" width="23.7109375" style="320" customWidth="1"/>
    <col min="8962" max="8962" width="13.7109375" style="320" bestFit="1" customWidth="1"/>
    <col min="8963" max="8963" width="2.7109375" style="320" customWidth="1"/>
    <col min="8964" max="8964" width="32.28515625" style="320" customWidth="1"/>
    <col min="8965" max="8965" width="12.5703125" style="320" customWidth="1"/>
    <col min="8966" max="8966" width="2.7109375" style="320" customWidth="1"/>
    <col min="8967" max="8967" width="32.28515625" style="320" customWidth="1"/>
    <col min="8968" max="8968" width="12.5703125" style="320" customWidth="1"/>
    <col min="8969" max="8969" width="2.7109375" style="320" customWidth="1"/>
    <col min="8970" max="8970" width="24.28515625" style="320" customWidth="1"/>
    <col min="8971" max="8971" width="12.5703125" style="320" customWidth="1"/>
    <col min="8972" max="9216" width="9.7109375" style="320"/>
    <col min="9217" max="9217" width="23.7109375" style="320" customWidth="1"/>
    <col min="9218" max="9218" width="13.7109375" style="320" bestFit="1" customWidth="1"/>
    <col min="9219" max="9219" width="2.7109375" style="320" customWidth="1"/>
    <col min="9220" max="9220" width="32.28515625" style="320" customWidth="1"/>
    <col min="9221" max="9221" width="12.5703125" style="320" customWidth="1"/>
    <col min="9222" max="9222" width="2.7109375" style="320" customWidth="1"/>
    <col min="9223" max="9223" width="32.28515625" style="320" customWidth="1"/>
    <col min="9224" max="9224" width="12.5703125" style="320" customWidth="1"/>
    <col min="9225" max="9225" width="2.7109375" style="320" customWidth="1"/>
    <col min="9226" max="9226" width="24.28515625" style="320" customWidth="1"/>
    <col min="9227" max="9227" width="12.5703125" style="320" customWidth="1"/>
    <col min="9228" max="9472" width="9.7109375" style="320"/>
    <col min="9473" max="9473" width="23.7109375" style="320" customWidth="1"/>
    <col min="9474" max="9474" width="13.7109375" style="320" bestFit="1" customWidth="1"/>
    <col min="9475" max="9475" width="2.7109375" style="320" customWidth="1"/>
    <col min="9476" max="9476" width="32.28515625" style="320" customWidth="1"/>
    <col min="9477" max="9477" width="12.5703125" style="320" customWidth="1"/>
    <col min="9478" max="9478" width="2.7109375" style="320" customWidth="1"/>
    <col min="9479" max="9479" width="32.28515625" style="320" customWidth="1"/>
    <col min="9480" max="9480" width="12.5703125" style="320" customWidth="1"/>
    <col min="9481" max="9481" width="2.7109375" style="320" customWidth="1"/>
    <col min="9482" max="9482" width="24.28515625" style="320" customWidth="1"/>
    <col min="9483" max="9483" width="12.5703125" style="320" customWidth="1"/>
    <col min="9484" max="9728" width="9.7109375" style="320"/>
    <col min="9729" max="9729" width="23.7109375" style="320" customWidth="1"/>
    <col min="9730" max="9730" width="13.7109375" style="320" bestFit="1" customWidth="1"/>
    <col min="9731" max="9731" width="2.7109375" style="320" customWidth="1"/>
    <col min="9732" max="9732" width="32.28515625" style="320" customWidth="1"/>
    <col min="9733" max="9733" width="12.5703125" style="320" customWidth="1"/>
    <col min="9734" max="9734" width="2.7109375" style="320" customWidth="1"/>
    <col min="9735" max="9735" width="32.28515625" style="320" customWidth="1"/>
    <col min="9736" max="9736" width="12.5703125" style="320" customWidth="1"/>
    <col min="9737" max="9737" width="2.7109375" style="320" customWidth="1"/>
    <col min="9738" max="9738" width="24.28515625" style="320" customWidth="1"/>
    <col min="9739" max="9739" width="12.5703125" style="320" customWidth="1"/>
    <col min="9740" max="9984" width="9.7109375" style="320"/>
    <col min="9985" max="9985" width="23.7109375" style="320" customWidth="1"/>
    <col min="9986" max="9986" width="13.7109375" style="320" bestFit="1" customWidth="1"/>
    <col min="9987" max="9987" width="2.7109375" style="320" customWidth="1"/>
    <col min="9988" max="9988" width="32.28515625" style="320" customWidth="1"/>
    <col min="9989" max="9989" width="12.5703125" style="320" customWidth="1"/>
    <col min="9990" max="9990" width="2.7109375" style="320" customWidth="1"/>
    <col min="9991" max="9991" width="32.28515625" style="320" customWidth="1"/>
    <col min="9992" max="9992" width="12.5703125" style="320" customWidth="1"/>
    <col min="9993" max="9993" width="2.7109375" style="320" customWidth="1"/>
    <col min="9994" max="9994" width="24.28515625" style="320" customWidth="1"/>
    <col min="9995" max="9995" width="12.5703125" style="320" customWidth="1"/>
    <col min="9996" max="10240" width="9.7109375" style="320"/>
    <col min="10241" max="10241" width="23.7109375" style="320" customWidth="1"/>
    <col min="10242" max="10242" width="13.7109375" style="320" bestFit="1" customWidth="1"/>
    <col min="10243" max="10243" width="2.7109375" style="320" customWidth="1"/>
    <col min="10244" max="10244" width="32.28515625" style="320" customWidth="1"/>
    <col min="10245" max="10245" width="12.5703125" style="320" customWidth="1"/>
    <col min="10246" max="10246" width="2.7109375" style="320" customWidth="1"/>
    <col min="10247" max="10247" width="32.28515625" style="320" customWidth="1"/>
    <col min="10248" max="10248" width="12.5703125" style="320" customWidth="1"/>
    <col min="10249" max="10249" width="2.7109375" style="320" customWidth="1"/>
    <col min="10250" max="10250" width="24.28515625" style="320" customWidth="1"/>
    <col min="10251" max="10251" width="12.5703125" style="320" customWidth="1"/>
    <col min="10252" max="10496" width="9.7109375" style="320"/>
    <col min="10497" max="10497" width="23.7109375" style="320" customWidth="1"/>
    <col min="10498" max="10498" width="13.7109375" style="320" bestFit="1" customWidth="1"/>
    <col min="10499" max="10499" width="2.7109375" style="320" customWidth="1"/>
    <col min="10500" max="10500" width="32.28515625" style="320" customWidth="1"/>
    <col min="10501" max="10501" width="12.5703125" style="320" customWidth="1"/>
    <col min="10502" max="10502" width="2.7109375" style="320" customWidth="1"/>
    <col min="10503" max="10503" width="32.28515625" style="320" customWidth="1"/>
    <col min="10504" max="10504" width="12.5703125" style="320" customWidth="1"/>
    <col min="10505" max="10505" width="2.7109375" style="320" customWidth="1"/>
    <col min="10506" max="10506" width="24.28515625" style="320" customWidth="1"/>
    <col min="10507" max="10507" width="12.5703125" style="320" customWidth="1"/>
    <col min="10508" max="10752" width="9.7109375" style="320"/>
    <col min="10753" max="10753" width="23.7109375" style="320" customWidth="1"/>
    <col min="10754" max="10754" width="13.7109375" style="320" bestFit="1" customWidth="1"/>
    <col min="10755" max="10755" width="2.7109375" style="320" customWidth="1"/>
    <col min="10756" max="10756" width="32.28515625" style="320" customWidth="1"/>
    <col min="10757" max="10757" width="12.5703125" style="320" customWidth="1"/>
    <col min="10758" max="10758" width="2.7109375" style="320" customWidth="1"/>
    <col min="10759" max="10759" width="32.28515625" style="320" customWidth="1"/>
    <col min="10760" max="10760" width="12.5703125" style="320" customWidth="1"/>
    <col min="10761" max="10761" width="2.7109375" style="320" customWidth="1"/>
    <col min="10762" max="10762" width="24.28515625" style="320" customWidth="1"/>
    <col min="10763" max="10763" width="12.5703125" style="320" customWidth="1"/>
    <col min="10764" max="11008" width="9.7109375" style="320"/>
    <col min="11009" max="11009" width="23.7109375" style="320" customWidth="1"/>
    <col min="11010" max="11010" width="13.7109375" style="320" bestFit="1" customWidth="1"/>
    <col min="11011" max="11011" width="2.7109375" style="320" customWidth="1"/>
    <col min="11012" max="11012" width="32.28515625" style="320" customWidth="1"/>
    <col min="11013" max="11013" width="12.5703125" style="320" customWidth="1"/>
    <col min="11014" max="11014" width="2.7109375" style="320" customWidth="1"/>
    <col min="11015" max="11015" width="32.28515625" style="320" customWidth="1"/>
    <col min="11016" max="11016" width="12.5703125" style="320" customWidth="1"/>
    <col min="11017" max="11017" width="2.7109375" style="320" customWidth="1"/>
    <col min="11018" max="11018" width="24.28515625" style="320" customWidth="1"/>
    <col min="11019" max="11019" width="12.5703125" style="320" customWidth="1"/>
    <col min="11020" max="11264" width="9.7109375" style="320"/>
    <col min="11265" max="11265" width="23.7109375" style="320" customWidth="1"/>
    <col min="11266" max="11266" width="13.7109375" style="320" bestFit="1" customWidth="1"/>
    <col min="11267" max="11267" width="2.7109375" style="320" customWidth="1"/>
    <col min="11268" max="11268" width="32.28515625" style="320" customWidth="1"/>
    <col min="11269" max="11269" width="12.5703125" style="320" customWidth="1"/>
    <col min="11270" max="11270" width="2.7109375" style="320" customWidth="1"/>
    <col min="11271" max="11271" width="32.28515625" style="320" customWidth="1"/>
    <col min="11272" max="11272" width="12.5703125" style="320" customWidth="1"/>
    <col min="11273" max="11273" width="2.7109375" style="320" customWidth="1"/>
    <col min="11274" max="11274" width="24.28515625" style="320" customWidth="1"/>
    <col min="11275" max="11275" width="12.5703125" style="320" customWidth="1"/>
    <col min="11276" max="11520" width="9.7109375" style="320"/>
    <col min="11521" max="11521" width="23.7109375" style="320" customWidth="1"/>
    <col min="11522" max="11522" width="13.7109375" style="320" bestFit="1" customWidth="1"/>
    <col min="11523" max="11523" width="2.7109375" style="320" customWidth="1"/>
    <col min="11524" max="11524" width="32.28515625" style="320" customWidth="1"/>
    <col min="11525" max="11525" width="12.5703125" style="320" customWidth="1"/>
    <col min="11526" max="11526" width="2.7109375" style="320" customWidth="1"/>
    <col min="11527" max="11527" width="32.28515625" style="320" customWidth="1"/>
    <col min="11528" max="11528" width="12.5703125" style="320" customWidth="1"/>
    <col min="11529" max="11529" width="2.7109375" style="320" customWidth="1"/>
    <col min="11530" max="11530" width="24.28515625" style="320" customWidth="1"/>
    <col min="11531" max="11531" width="12.5703125" style="320" customWidth="1"/>
    <col min="11532" max="11776" width="9.7109375" style="320"/>
    <col min="11777" max="11777" width="23.7109375" style="320" customWidth="1"/>
    <col min="11778" max="11778" width="13.7109375" style="320" bestFit="1" customWidth="1"/>
    <col min="11779" max="11779" width="2.7109375" style="320" customWidth="1"/>
    <col min="11780" max="11780" width="32.28515625" style="320" customWidth="1"/>
    <col min="11781" max="11781" width="12.5703125" style="320" customWidth="1"/>
    <col min="11782" max="11782" width="2.7109375" style="320" customWidth="1"/>
    <col min="11783" max="11783" width="32.28515625" style="320" customWidth="1"/>
    <col min="11784" max="11784" width="12.5703125" style="320" customWidth="1"/>
    <col min="11785" max="11785" width="2.7109375" style="320" customWidth="1"/>
    <col min="11786" max="11786" width="24.28515625" style="320" customWidth="1"/>
    <col min="11787" max="11787" width="12.5703125" style="320" customWidth="1"/>
    <col min="11788" max="12032" width="9.7109375" style="320"/>
    <col min="12033" max="12033" width="23.7109375" style="320" customWidth="1"/>
    <col min="12034" max="12034" width="13.7109375" style="320" bestFit="1" customWidth="1"/>
    <col min="12035" max="12035" width="2.7109375" style="320" customWidth="1"/>
    <col min="12036" max="12036" width="32.28515625" style="320" customWidth="1"/>
    <col min="12037" max="12037" width="12.5703125" style="320" customWidth="1"/>
    <col min="12038" max="12038" width="2.7109375" style="320" customWidth="1"/>
    <col min="12039" max="12039" width="32.28515625" style="320" customWidth="1"/>
    <col min="12040" max="12040" width="12.5703125" style="320" customWidth="1"/>
    <col min="12041" max="12041" width="2.7109375" style="320" customWidth="1"/>
    <col min="12042" max="12042" width="24.28515625" style="320" customWidth="1"/>
    <col min="12043" max="12043" width="12.5703125" style="320" customWidth="1"/>
    <col min="12044" max="12288" width="9.7109375" style="320"/>
    <col min="12289" max="12289" width="23.7109375" style="320" customWidth="1"/>
    <col min="12290" max="12290" width="13.7109375" style="320" bestFit="1" customWidth="1"/>
    <col min="12291" max="12291" width="2.7109375" style="320" customWidth="1"/>
    <col min="12292" max="12292" width="32.28515625" style="320" customWidth="1"/>
    <col min="12293" max="12293" width="12.5703125" style="320" customWidth="1"/>
    <col min="12294" max="12294" width="2.7109375" style="320" customWidth="1"/>
    <col min="12295" max="12295" width="32.28515625" style="320" customWidth="1"/>
    <col min="12296" max="12296" width="12.5703125" style="320" customWidth="1"/>
    <col min="12297" max="12297" width="2.7109375" style="320" customWidth="1"/>
    <col min="12298" max="12298" width="24.28515625" style="320" customWidth="1"/>
    <col min="12299" max="12299" width="12.5703125" style="320" customWidth="1"/>
    <col min="12300" max="12544" width="9.7109375" style="320"/>
    <col min="12545" max="12545" width="23.7109375" style="320" customWidth="1"/>
    <col min="12546" max="12546" width="13.7109375" style="320" bestFit="1" customWidth="1"/>
    <col min="12547" max="12547" width="2.7109375" style="320" customWidth="1"/>
    <col min="12548" max="12548" width="32.28515625" style="320" customWidth="1"/>
    <col min="12549" max="12549" width="12.5703125" style="320" customWidth="1"/>
    <col min="12550" max="12550" width="2.7109375" style="320" customWidth="1"/>
    <col min="12551" max="12551" width="32.28515625" style="320" customWidth="1"/>
    <col min="12552" max="12552" width="12.5703125" style="320" customWidth="1"/>
    <col min="12553" max="12553" width="2.7109375" style="320" customWidth="1"/>
    <col min="12554" max="12554" width="24.28515625" style="320" customWidth="1"/>
    <col min="12555" max="12555" width="12.5703125" style="320" customWidth="1"/>
    <col min="12556" max="12800" width="9.7109375" style="320"/>
    <col min="12801" max="12801" width="23.7109375" style="320" customWidth="1"/>
    <col min="12802" max="12802" width="13.7109375" style="320" bestFit="1" customWidth="1"/>
    <col min="12803" max="12803" width="2.7109375" style="320" customWidth="1"/>
    <col min="12804" max="12804" width="32.28515625" style="320" customWidth="1"/>
    <col min="12805" max="12805" width="12.5703125" style="320" customWidth="1"/>
    <col min="12806" max="12806" width="2.7109375" style="320" customWidth="1"/>
    <col min="12807" max="12807" width="32.28515625" style="320" customWidth="1"/>
    <col min="12808" max="12808" width="12.5703125" style="320" customWidth="1"/>
    <col min="12809" max="12809" width="2.7109375" style="320" customWidth="1"/>
    <col min="12810" max="12810" width="24.28515625" style="320" customWidth="1"/>
    <col min="12811" max="12811" width="12.5703125" style="320" customWidth="1"/>
    <col min="12812" max="13056" width="9.7109375" style="320"/>
    <col min="13057" max="13057" width="23.7109375" style="320" customWidth="1"/>
    <col min="13058" max="13058" width="13.7109375" style="320" bestFit="1" customWidth="1"/>
    <col min="13059" max="13059" width="2.7109375" style="320" customWidth="1"/>
    <col min="13060" max="13060" width="32.28515625" style="320" customWidth="1"/>
    <col min="13061" max="13061" width="12.5703125" style="320" customWidth="1"/>
    <col min="13062" max="13062" width="2.7109375" style="320" customWidth="1"/>
    <col min="13063" max="13063" width="32.28515625" style="320" customWidth="1"/>
    <col min="13064" max="13064" width="12.5703125" style="320" customWidth="1"/>
    <col min="13065" max="13065" width="2.7109375" style="320" customWidth="1"/>
    <col min="13066" max="13066" width="24.28515625" style="320" customWidth="1"/>
    <col min="13067" max="13067" width="12.5703125" style="320" customWidth="1"/>
    <col min="13068" max="13312" width="9.7109375" style="320"/>
    <col min="13313" max="13313" width="23.7109375" style="320" customWidth="1"/>
    <col min="13314" max="13314" width="13.7109375" style="320" bestFit="1" customWidth="1"/>
    <col min="13315" max="13315" width="2.7109375" style="320" customWidth="1"/>
    <col min="13316" max="13316" width="32.28515625" style="320" customWidth="1"/>
    <col min="13317" max="13317" width="12.5703125" style="320" customWidth="1"/>
    <col min="13318" max="13318" width="2.7109375" style="320" customWidth="1"/>
    <col min="13319" max="13319" width="32.28515625" style="320" customWidth="1"/>
    <col min="13320" max="13320" width="12.5703125" style="320" customWidth="1"/>
    <col min="13321" max="13321" width="2.7109375" style="320" customWidth="1"/>
    <col min="13322" max="13322" width="24.28515625" style="320" customWidth="1"/>
    <col min="13323" max="13323" width="12.5703125" style="320" customWidth="1"/>
    <col min="13324" max="13568" width="9.7109375" style="320"/>
    <col min="13569" max="13569" width="23.7109375" style="320" customWidth="1"/>
    <col min="13570" max="13570" width="13.7109375" style="320" bestFit="1" customWidth="1"/>
    <col min="13571" max="13571" width="2.7109375" style="320" customWidth="1"/>
    <col min="13572" max="13572" width="32.28515625" style="320" customWidth="1"/>
    <col min="13573" max="13573" width="12.5703125" style="320" customWidth="1"/>
    <col min="13574" max="13574" width="2.7109375" style="320" customWidth="1"/>
    <col min="13575" max="13575" width="32.28515625" style="320" customWidth="1"/>
    <col min="13576" max="13576" width="12.5703125" style="320" customWidth="1"/>
    <col min="13577" max="13577" width="2.7109375" style="320" customWidth="1"/>
    <col min="13578" max="13578" width="24.28515625" style="320" customWidth="1"/>
    <col min="13579" max="13579" width="12.5703125" style="320" customWidth="1"/>
    <col min="13580" max="13824" width="9.7109375" style="320"/>
    <col min="13825" max="13825" width="23.7109375" style="320" customWidth="1"/>
    <col min="13826" max="13826" width="13.7109375" style="320" bestFit="1" customWidth="1"/>
    <col min="13827" max="13827" width="2.7109375" style="320" customWidth="1"/>
    <col min="13828" max="13828" width="32.28515625" style="320" customWidth="1"/>
    <col min="13829" max="13829" width="12.5703125" style="320" customWidth="1"/>
    <col min="13830" max="13830" width="2.7109375" style="320" customWidth="1"/>
    <col min="13831" max="13831" width="32.28515625" style="320" customWidth="1"/>
    <col min="13832" max="13832" width="12.5703125" style="320" customWidth="1"/>
    <col min="13833" max="13833" width="2.7109375" style="320" customWidth="1"/>
    <col min="13834" max="13834" width="24.28515625" style="320" customWidth="1"/>
    <col min="13835" max="13835" width="12.5703125" style="320" customWidth="1"/>
    <col min="13836" max="14080" width="9.7109375" style="320"/>
    <col min="14081" max="14081" width="23.7109375" style="320" customWidth="1"/>
    <col min="14082" max="14082" width="13.7109375" style="320" bestFit="1" customWidth="1"/>
    <col min="14083" max="14083" width="2.7109375" style="320" customWidth="1"/>
    <col min="14084" max="14084" width="32.28515625" style="320" customWidth="1"/>
    <col min="14085" max="14085" width="12.5703125" style="320" customWidth="1"/>
    <col min="14086" max="14086" width="2.7109375" style="320" customWidth="1"/>
    <col min="14087" max="14087" width="32.28515625" style="320" customWidth="1"/>
    <col min="14088" max="14088" width="12.5703125" style="320" customWidth="1"/>
    <col min="14089" max="14089" width="2.7109375" style="320" customWidth="1"/>
    <col min="14090" max="14090" width="24.28515625" style="320" customWidth="1"/>
    <col min="14091" max="14091" width="12.5703125" style="320" customWidth="1"/>
    <col min="14092" max="14336" width="9.7109375" style="320"/>
    <col min="14337" max="14337" width="23.7109375" style="320" customWidth="1"/>
    <col min="14338" max="14338" width="13.7109375" style="320" bestFit="1" customWidth="1"/>
    <col min="14339" max="14339" width="2.7109375" style="320" customWidth="1"/>
    <col min="14340" max="14340" width="32.28515625" style="320" customWidth="1"/>
    <col min="14341" max="14341" width="12.5703125" style="320" customWidth="1"/>
    <col min="14342" max="14342" width="2.7109375" style="320" customWidth="1"/>
    <col min="14343" max="14343" width="32.28515625" style="320" customWidth="1"/>
    <col min="14344" max="14344" width="12.5703125" style="320" customWidth="1"/>
    <col min="14345" max="14345" width="2.7109375" style="320" customWidth="1"/>
    <col min="14346" max="14346" width="24.28515625" style="320" customWidth="1"/>
    <col min="14347" max="14347" width="12.5703125" style="320" customWidth="1"/>
    <col min="14348" max="14592" width="9.7109375" style="320"/>
    <col min="14593" max="14593" width="23.7109375" style="320" customWidth="1"/>
    <col min="14594" max="14594" width="13.7109375" style="320" bestFit="1" customWidth="1"/>
    <col min="14595" max="14595" width="2.7109375" style="320" customWidth="1"/>
    <col min="14596" max="14596" width="32.28515625" style="320" customWidth="1"/>
    <col min="14597" max="14597" width="12.5703125" style="320" customWidth="1"/>
    <col min="14598" max="14598" width="2.7109375" style="320" customWidth="1"/>
    <col min="14599" max="14599" width="32.28515625" style="320" customWidth="1"/>
    <col min="14600" max="14600" width="12.5703125" style="320" customWidth="1"/>
    <col min="14601" max="14601" width="2.7109375" style="320" customWidth="1"/>
    <col min="14602" max="14602" width="24.28515625" style="320" customWidth="1"/>
    <col min="14603" max="14603" width="12.5703125" style="320" customWidth="1"/>
    <col min="14604" max="14848" width="9.7109375" style="320"/>
    <col min="14849" max="14849" width="23.7109375" style="320" customWidth="1"/>
    <col min="14850" max="14850" width="13.7109375" style="320" bestFit="1" customWidth="1"/>
    <col min="14851" max="14851" width="2.7109375" style="320" customWidth="1"/>
    <col min="14852" max="14852" width="32.28515625" style="320" customWidth="1"/>
    <col min="14853" max="14853" width="12.5703125" style="320" customWidth="1"/>
    <col min="14854" max="14854" width="2.7109375" style="320" customWidth="1"/>
    <col min="14855" max="14855" width="32.28515625" style="320" customWidth="1"/>
    <col min="14856" max="14856" width="12.5703125" style="320" customWidth="1"/>
    <col min="14857" max="14857" width="2.7109375" style="320" customWidth="1"/>
    <col min="14858" max="14858" width="24.28515625" style="320" customWidth="1"/>
    <col min="14859" max="14859" width="12.5703125" style="320" customWidth="1"/>
    <col min="14860" max="15104" width="9.7109375" style="320"/>
    <col min="15105" max="15105" width="23.7109375" style="320" customWidth="1"/>
    <col min="15106" max="15106" width="13.7109375" style="320" bestFit="1" customWidth="1"/>
    <col min="15107" max="15107" width="2.7109375" style="320" customWidth="1"/>
    <col min="15108" max="15108" width="32.28515625" style="320" customWidth="1"/>
    <col min="15109" max="15109" width="12.5703125" style="320" customWidth="1"/>
    <col min="15110" max="15110" width="2.7109375" style="320" customWidth="1"/>
    <col min="15111" max="15111" width="32.28515625" style="320" customWidth="1"/>
    <col min="15112" max="15112" width="12.5703125" style="320" customWidth="1"/>
    <col min="15113" max="15113" width="2.7109375" style="320" customWidth="1"/>
    <col min="15114" max="15114" width="24.28515625" style="320" customWidth="1"/>
    <col min="15115" max="15115" width="12.5703125" style="320" customWidth="1"/>
    <col min="15116" max="15360" width="9.7109375" style="320"/>
    <col min="15361" max="15361" width="23.7109375" style="320" customWidth="1"/>
    <col min="15362" max="15362" width="13.7109375" style="320" bestFit="1" customWidth="1"/>
    <col min="15363" max="15363" width="2.7109375" style="320" customWidth="1"/>
    <col min="15364" max="15364" width="32.28515625" style="320" customWidth="1"/>
    <col min="15365" max="15365" width="12.5703125" style="320" customWidth="1"/>
    <col min="15366" max="15366" width="2.7109375" style="320" customWidth="1"/>
    <col min="15367" max="15367" width="32.28515625" style="320" customWidth="1"/>
    <col min="15368" max="15368" width="12.5703125" style="320" customWidth="1"/>
    <col min="15369" max="15369" width="2.7109375" style="320" customWidth="1"/>
    <col min="15370" max="15370" width="24.28515625" style="320" customWidth="1"/>
    <col min="15371" max="15371" width="12.5703125" style="320" customWidth="1"/>
    <col min="15372" max="15616" width="9.7109375" style="320"/>
    <col min="15617" max="15617" width="23.7109375" style="320" customWidth="1"/>
    <col min="15618" max="15618" width="13.7109375" style="320" bestFit="1" customWidth="1"/>
    <col min="15619" max="15619" width="2.7109375" style="320" customWidth="1"/>
    <col min="15620" max="15620" width="32.28515625" style="320" customWidth="1"/>
    <col min="15621" max="15621" width="12.5703125" style="320" customWidth="1"/>
    <col min="15622" max="15622" width="2.7109375" style="320" customWidth="1"/>
    <col min="15623" max="15623" width="32.28515625" style="320" customWidth="1"/>
    <col min="15624" max="15624" width="12.5703125" style="320" customWidth="1"/>
    <col min="15625" max="15625" width="2.7109375" style="320" customWidth="1"/>
    <col min="15626" max="15626" width="24.28515625" style="320" customWidth="1"/>
    <col min="15627" max="15627" width="12.5703125" style="320" customWidth="1"/>
    <col min="15628" max="15872" width="9.7109375" style="320"/>
    <col min="15873" max="15873" width="23.7109375" style="320" customWidth="1"/>
    <col min="15874" max="15874" width="13.7109375" style="320" bestFit="1" customWidth="1"/>
    <col min="15875" max="15875" width="2.7109375" style="320" customWidth="1"/>
    <col min="15876" max="15876" width="32.28515625" style="320" customWidth="1"/>
    <col min="15877" max="15877" width="12.5703125" style="320" customWidth="1"/>
    <col min="15878" max="15878" width="2.7109375" style="320" customWidth="1"/>
    <col min="15879" max="15879" width="32.28515625" style="320" customWidth="1"/>
    <col min="15880" max="15880" width="12.5703125" style="320" customWidth="1"/>
    <col min="15881" max="15881" width="2.7109375" style="320" customWidth="1"/>
    <col min="15882" max="15882" width="24.28515625" style="320" customWidth="1"/>
    <col min="15883" max="15883" width="12.5703125" style="320" customWidth="1"/>
    <col min="15884" max="16128" width="9.7109375" style="320"/>
    <col min="16129" max="16129" width="23.7109375" style="320" customWidth="1"/>
    <col min="16130" max="16130" width="13.7109375" style="320" bestFit="1" customWidth="1"/>
    <col min="16131" max="16131" width="2.7109375" style="320" customWidth="1"/>
    <col min="16132" max="16132" width="32.28515625" style="320" customWidth="1"/>
    <col min="16133" max="16133" width="12.5703125" style="320" customWidth="1"/>
    <col min="16134" max="16134" width="2.7109375" style="320" customWidth="1"/>
    <col min="16135" max="16135" width="32.28515625" style="320" customWidth="1"/>
    <col min="16136" max="16136" width="12.5703125" style="320" customWidth="1"/>
    <col min="16137" max="16137" width="2.7109375" style="320" customWidth="1"/>
    <col min="16138" max="16138" width="24.28515625" style="320" customWidth="1"/>
    <col min="16139" max="16139" width="12.5703125" style="320" customWidth="1"/>
    <col min="16140" max="16384" width="9.7109375" style="320"/>
  </cols>
  <sheetData>
    <row r="1" spans="1:11">
      <c r="A1" s="420" t="s">
        <v>289</v>
      </c>
      <c r="B1" s="419">
        <v>5000</v>
      </c>
      <c r="F1" s="418" t="s">
        <v>171</v>
      </c>
      <c r="G1" s="417"/>
    </row>
    <row r="2" spans="1:11" ht="33" customHeight="1">
      <c r="A2" s="525" t="s">
        <v>290</v>
      </c>
      <c r="B2" s="526"/>
      <c r="F2" s="416" t="s">
        <v>352</v>
      </c>
    </row>
    <row r="3" spans="1:11" ht="9" customHeight="1">
      <c r="A3" s="415"/>
      <c r="B3" s="415"/>
    </row>
    <row r="4" spans="1:11">
      <c r="A4" s="527" t="s">
        <v>291</v>
      </c>
      <c r="B4" s="528"/>
      <c r="C4" s="528"/>
      <c r="D4" s="528"/>
      <c r="E4" s="528"/>
      <c r="F4" s="528"/>
      <c r="G4" s="528"/>
      <c r="H4" s="528"/>
      <c r="I4" s="528"/>
      <c r="J4" s="528"/>
      <c r="K4" s="529"/>
    </row>
    <row r="5" spans="1:11" ht="16.5" customHeight="1">
      <c r="A5" s="530" t="s">
        <v>292</v>
      </c>
      <c r="B5" s="531"/>
      <c r="D5" s="530" t="s">
        <v>293</v>
      </c>
      <c r="E5" s="531"/>
      <c r="G5" s="530" t="s">
        <v>294</v>
      </c>
      <c r="H5" s="531"/>
      <c r="J5" s="530" t="s">
        <v>295</v>
      </c>
      <c r="K5" s="531"/>
    </row>
    <row r="6" spans="1:11" ht="16.5" customHeight="1">
      <c r="A6" s="340" t="s">
        <v>296</v>
      </c>
      <c r="B6" s="414" t="s">
        <v>172</v>
      </c>
      <c r="D6" s="343" t="s">
        <v>173</v>
      </c>
      <c r="E6" s="413" t="s">
        <v>297</v>
      </c>
      <c r="G6" s="343" t="s">
        <v>173</v>
      </c>
      <c r="H6" s="412" t="s">
        <v>297</v>
      </c>
      <c r="J6" s="343" t="s">
        <v>174</v>
      </c>
      <c r="K6" s="412" t="s">
        <v>297</v>
      </c>
    </row>
    <row r="7" spans="1:11">
      <c r="A7" s="411" t="s">
        <v>175</v>
      </c>
      <c r="B7" s="395">
        <f>SUM(B1*0.062)</f>
        <v>310</v>
      </c>
      <c r="D7" s="340" t="str">
        <f>$A$7</f>
        <v>OASI - .062</v>
      </c>
      <c r="E7" s="331">
        <f>$B$7</f>
        <v>310</v>
      </c>
      <c r="G7" s="340" t="str">
        <f>$A$7</f>
        <v>OASI - .062</v>
      </c>
      <c r="H7" s="331">
        <f>$B$7</f>
        <v>310</v>
      </c>
      <c r="J7" s="340" t="s">
        <v>176</v>
      </c>
      <c r="K7" s="331">
        <v>0</v>
      </c>
    </row>
    <row r="8" spans="1:11" ht="16.5" customHeight="1">
      <c r="A8" s="358" t="s">
        <v>177</v>
      </c>
      <c r="B8" s="384">
        <f>SUM(B1*0.0145)</f>
        <v>72.5</v>
      </c>
      <c r="D8" s="329" t="str">
        <f>$A$8</f>
        <v>Medicare - .0145</v>
      </c>
      <c r="E8" s="328">
        <f>$B$8</f>
        <v>72.5</v>
      </c>
      <c r="G8" s="329" t="str">
        <f>$A$8</f>
        <v>Medicare - .0145</v>
      </c>
      <c r="H8" s="328">
        <f>$B$8</f>
        <v>72.5</v>
      </c>
      <c r="J8" s="329" t="str">
        <f>$A$8</f>
        <v>Medicare - .0145</v>
      </c>
      <c r="K8" s="328">
        <f>$B$8</f>
        <v>72.5</v>
      </c>
    </row>
    <row r="9" spans="1:11" s="407" customFormat="1" ht="16.5" customHeight="1">
      <c r="A9" s="409" t="s">
        <v>351</v>
      </c>
      <c r="B9" s="410">
        <f>SUM(B1*0.0921)</f>
        <v>460.5</v>
      </c>
      <c r="D9" s="409" t="s">
        <v>298</v>
      </c>
      <c r="E9" s="408">
        <f>SUM(B1*0.05)</f>
        <v>250</v>
      </c>
      <c r="G9" s="409" t="s">
        <v>298</v>
      </c>
      <c r="H9" s="408">
        <f>SUM($B$1*0.05)</f>
        <v>250</v>
      </c>
      <c r="J9" s="409" t="s">
        <v>178</v>
      </c>
      <c r="K9" s="408">
        <f>SUM($B$1*0.07)</f>
        <v>350.00000000000006</v>
      </c>
    </row>
    <row r="10" spans="1:11" ht="16.5" customHeight="1">
      <c r="A10" s="358" t="s">
        <v>299</v>
      </c>
      <c r="B10" s="384">
        <f>SUM(B1*0.005)</f>
        <v>25</v>
      </c>
      <c r="D10" s="329" t="str">
        <f>$A$10</f>
        <v>Unempl - .005</v>
      </c>
      <c r="E10" s="328">
        <f>$B$10</f>
        <v>25</v>
      </c>
      <c r="G10" s="329" t="str">
        <f>$A$10</f>
        <v>Unempl - .005</v>
      </c>
      <c r="H10" s="328">
        <f>$B$10</f>
        <v>25</v>
      </c>
      <c r="J10" s="329" t="str">
        <f>$A$10</f>
        <v>Unempl - .005</v>
      </c>
      <c r="K10" s="328">
        <f>$B$10</f>
        <v>25</v>
      </c>
    </row>
    <row r="11" spans="1:11" ht="16.5" customHeight="1">
      <c r="A11" s="369" t="s">
        <v>353</v>
      </c>
      <c r="B11" s="384">
        <f>160*0.22695</f>
        <v>36.312000000000005</v>
      </c>
      <c r="D11" s="406" t="str">
        <f>$A$11</f>
        <v>Med. Aid  - .22695 x 160</v>
      </c>
      <c r="E11" s="328">
        <f>$B$11</f>
        <v>36.312000000000005</v>
      </c>
      <c r="G11" s="406" t="str">
        <f>$A$11</f>
        <v>Med. Aid  - .22695 x 160</v>
      </c>
      <c r="H11" s="328">
        <f>$B$11</f>
        <v>36.312000000000005</v>
      </c>
      <c r="J11" s="406" t="str">
        <f>$A$11</f>
        <v>Med. Aid  - .22695 x 160</v>
      </c>
      <c r="K11" s="328">
        <f>$B$11</f>
        <v>36.312000000000005</v>
      </c>
    </row>
    <row r="12" spans="1:11" ht="16.5" customHeight="1">
      <c r="A12" s="366" t="s">
        <v>300</v>
      </c>
      <c r="B12" s="334">
        <v>913</v>
      </c>
      <c r="D12" s="333" t="str">
        <f>$A$12</f>
        <v>Health</v>
      </c>
      <c r="E12" s="387">
        <f>$B$12</f>
        <v>913</v>
      </c>
      <c r="F12" s="349"/>
      <c r="G12" s="333" t="str">
        <f>$A$12</f>
        <v>Health</v>
      </c>
      <c r="H12" s="403">
        <f>$B$12</f>
        <v>913</v>
      </c>
      <c r="I12" s="349"/>
      <c r="J12" s="333" t="s">
        <v>301</v>
      </c>
      <c r="K12" s="328">
        <v>13.5</v>
      </c>
    </row>
    <row r="13" spans="1:11" ht="16.5" customHeight="1">
      <c r="A13" s="358" t="s">
        <v>179</v>
      </c>
      <c r="B13" s="359">
        <f>SUM(B7:B12)</f>
        <v>1817.3119999999999</v>
      </c>
      <c r="D13" s="333" t="s">
        <v>179</v>
      </c>
      <c r="E13" s="405">
        <f>SUM(E7:E12)</f>
        <v>1606.8119999999999</v>
      </c>
      <c r="F13" s="349"/>
      <c r="G13" s="333" t="s">
        <v>179</v>
      </c>
      <c r="H13" s="404">
        <f>SUM(H7:H12)</f>
        <v>1606.8119999999999</v>
      </c>
      <c r="I13" s="349"/>
      <c r="J13" s="333" t="str">
        <f>$A$12</f>
        <v>Health</v>
      </c>
      <c r="K13" s="403">
        <f>$B$12</f>
        <v>913</v>
      </c>
    </row>
    <row r="14" spans="1:11" ht="16.5" customHeight="1">
      <c r="A14" s="358"/>
      <c r="B14" s="357"/>
      <c r="D14" s="333"/>
      <c r="E14" s="402"/>
      <c r="F14" s="349"/>
      <c r="G14" s="333"/>
      <c r="H14" s="401"/>
      <c r="I14" s="349"/>
      <c r="J14" s="333" t="s">
        <v>179</v>
      </c>
      <c r="K14" s="331">
        <f>SUM(K7:K13)</f>
        <v>1410.3120000000001</v>
      </c>
    </row>
    <row r="15" spans="1:11" ht="16.5" customHeight="1">
      <c r="A15" s="375" t="s">
        <v>302</v>
      </c>
      <c r="B15" s="400">
        <f>SUM(B13/B1)</f>
        <v>0.36346239999999996</v>
      </c>
      <c r="D15" s="333" t="s">
        <v>302</v>
      </c>
      <c r="E15" s="383">
        <f>SUM(E13/B1)</f>
        <v>0.32136239999999999</v>
      </c>
      <c r="F15" s="349"/>
      <c r="G15" s="333" t="s">
        <v>302</v>
      </c>
      <c r="H15" s="383">
        <f>SUM(H13/B1)</f>
        <v>0.32136239999999999</v>
      </c>
      <c r="I15" s="349"/>
      <c r="J15" s="399"/>
      <c r="K15" s="398"/>
    </row>
    <row r="16" spans="1:11" ht="16.5" customHeight="1" thickBot="1">
      <c r="D16" s="381" t="str">
        <f>$A$7</f>
        <v>OASI - .062</v>
      </c>
      <c r="E16" s="341">
        <f>$B$7</f>
        <v>310</v>
      </c>
      <c r="F16" s="349"/>
      <c r="G16" s="381" t="str">
        <f>$A$7</f>
        <v>OASI - .062</v>
      </c>
      <c r="H16" s="341">
        <f>$B$7</f>
        <v>310</v>
      </c>
      <c r="I16" s="349"/>
      <c r="J16" s="333" t="s">
        <v>302</v>
      </c>
      <c r="K16" s="383">
        <f>SUM(K14/$B$1)</f>
        <v>0.28206240000000005</v>
      </c>
    </row>
    <row r="17" spans="1:11" ht="16.5" customHeight="1">
      <c r="A17" s="397" t="s">
        <v>326</v>
      </c>
      <c r="B17" s="396"/>
      <c r="D17" s="366" t="str">
        <f>$A$8</f>
        <v>Medicare - .0145</v>
      </c>
      <c r="E17" s="336">
        <f>$B$8</f>
        <v>72.5</v>
      </c>
      <c r="F17" s="349"/>
      <c r="G17" s="366" t="str">
        <f>$A$8</f>
        <v>Medicare - .0145</v>
      </c>
      <c r="H17" s="336">
        <f>$B$8</f>
        <v>72.5</v>
      </c>
      <c r="I17" s="349"/>
      <c r="J17" s="381" t="s">
        <v>175</v>
      </c>
      <c r="K17" s="395">
        <f>$B$7</f>
        <v>310</v>
      </c>
    </row>
    <row r="18" spans="1:11" s="373" customFormat="1" ht="16.5" customHeight="1">
      <c r="A18" s="392" t="s">
        <v>327</v>
      </c>
      <c r="B18" s="391"/>
      <c r="D18" s="394" t="s">
        <v>303</v>
      </c>
      <c r="E18" s="377">
        <f>SUM(B1*0.075)</f>
        <v>375</v>
      </c>
      <c r="F18" s="376"/>
      <c r="G18" s="394" t="s">
        <v>303</v>
      </c>
      <c r="H18" s="377">
        <f>SUM($B$1*0.075)</f>
        <v>375</v>
      </c>
      <c r="I18" s="376"/>
      <c r="J18" s="366" t="str">
        <f>$A$8</f>
        <v>Medicare - .0145</v>
      </c>
      <c r="K18" s="393">
        <f>$B$8</f>
        <v>72.5</v>
      </c>
    </row>
    <row r="19" spans="1:11" ht="16.5" customHeight="1">
      <c r="A19" s="392" t="s">
        <v>328</v>
      </c>
      <c r="B19" s="391"/>
      <c r="D19" s="366" t="str">
        <f>$A$10</f>
        <v>Unempl - .005</v>
      </c>
      <c r="E19" s="336">
        <f>$B$10</f>
        <v>25</v>
      </c>
      <c r="F19" s="349"/>
      <c r="G19" s="366" t="str">
        <f>$A$10</f>
        <v>Unempl - .005</v>
      </c>
      <c r="H19" s="336">
        <f>$B$10</f>
        <v>25</v>
      </c>
      <c r="I19" s="349"/>
      <c r="J19" s="337" t="s">
        <v>354</v>
      </c>
      <c r="K19" s="384">
        <f>SUM($B$1*0.132)</f>
        <v>660</v>
      </c>
    </row>
    <row r="20" spans="1:11" ht="16.5" customHeight="1" thickBot="1">
      <c r="A20" s="390" t="s">
        <v>329</v>
      </c>
      <c r="B20" s="389"/>
      <c r="D20" s="369" t="str">
        <f>$A$11</f>
        <v>Med. Aid  - .22695 x 160</v>
      </c>
      <c r="E20" s="336">
        <f>$B$11</f>
        <v>36.312000000000005</v>
      </c>
      <c r="F20" s="349"/>
      <c r="G20" s="369" t="str">
        <f>$A$11</f>
        <v>Med. Aid  - .22695 x 160</v>
      </c>
      <c r="H20" s="336">
        <f>$B$11</f>
        <v>36.312000000000005</v>
      </c>
      <c r="I20" s="349"/>
      <c r="J20" s="388" t="s">
        <v>181</v>
      </c>
      <c r="K20" s="384">
        <f>SUM(B1*0.05)</f>
        <v>250</v>
      </c>
    </row>
    <row r="21" spans="1:11" ht="16.5" customHeight="1">
      <c r="A21" s="521" t="s">
        <v>330</v>
      </c>
      <c r="B21" s="522"/>
      <c r="D21" s="366" t="str">
        <f>$A$12</f>
        <v>Health</v>
      </c>
      <c r="E21" s="387">
        <f>$B$12</f>
        <v>913</v>
      </c>
      <c r="F21" s="349"/>
      <c r="G21" s="366" t="str">
        <f>$A$12</f>
        <v>Health</v>
      </c>
      <c r="H21" s="334">
        <f>$B$12</f>
        <v>913</v>
      </c>
      <c r="I21" s="349"/>
      <c r="J21" s="366" t="str">
        <f>$A$10</f>
        <v>Unempl - .005</v>
      </c>
      <c r="K21" s="384">
        <f>$B$10</f>
        <v>25</v>
      </c>
    </row>
    <row r="22" spans="1:11" ht="15" customHeight="1">
      <c r="A22" s="371" t="s">
        <v>355</v>
      </c>
      <c r="B22" s="370">
        <f>B11*0.5</f>
        <v>18.156000000000002</v>
      </c>
      <c r="D22" s="366" t="s">
        <v>179</v>
      </c>
      <c r="E22" s="386">
        <f>SUM(E16:E21)</f>
        <v>1731.8119999999999</v>
      </c>
      <c r="F22" s="349"/>
      <c r="G22" s="366" t="s">
        <v>179</v>
      </c>
      <c r="H22" s="385">
        <f>SUM(H16:H21)</f>
        <v>1731.8119999999999</v>
      </c>
      <c r="I22" s="349"/>
      <c r="J22" s="369" t="str">
        <f>$A$11</f>
        <v>Med. Aid  - .22695 x 160</v>
      </c>
      <c r="K22" s="384">
        <f>$B$11</f>
        <v>36.312000000000005</v>
      </c>
    </row>
    <row r="23" spans="1:11" ht="16.5" customHeight="1">
      <c r="A23" s="368" t="s">
        <v>356</v>
      </c>
      <c r="B23" s="367">
        <f>1011/4.5</f>
        <v>224.66666666666666</v>
      </c>
      <c r="D23" s="366"/>
      <c r="E23" s="386"/>
      <c r="F23" s="349"/>
      <c r="G23" s="366"/>
      <c r="H23" s="385"/>
      <c r="I23" s="349"/>
      <c r="J23" s="366" t="s">
        <v>301</v>
      </c>
      <c r="K23" s="384">
        <f>$K$12</f>
        <v>13.5</v>
      </c>
    </row>
    <row r="24" spans="1:11" ht="16.5" customHeight="1">
      <c r="A24" s="361" t="s">
        <v>179</v>
      </c>
      <c r="B24" s="364">
        <f>SUM(B22:B23)</f>
        <v>242.82266666666666</v>
      </c>
      <c r="D24" s="375" t="s">
        <v>302</v>
      </c>
      <c r="E24" s="353">
        <f>SUM(E22/B1)</f>
        <v>0.34636239999999996</v>
      </c>
      <c r="F24" s="349"/>
      <c r="G24" s="375" t="s">
        <v>302</v>
      </c>
      <c r="H24" s="383">
        <f>SUM(H22/B1)</f>
        <v>0.34636239999999996</v>
      </c>
      <c r="I24" s="349"/>
      <c r="J24" s="366" t="str">
        <f>$A$12</f>
        <v>Health</v>
      </c>
      <c r="K24" s="382">
        <f>$B$12</f>
        <v>913</v>
      </c>
    </row>
    <row r="25" spans="1:11" ht="16.5" customHeight="1">
      <c r="A25" s="361"/>
      <c r="B25" s="360"/>
      <c r="D25" s="381" t="str">
        <f>$A$7</f>
        <v>OASI - .062</v>
      </c>
      <c r="E25" s="341">
        <f>$B$7</f>
        <v>310</v>
      </c>
      <c r="F25" s="349"/>
      <c r="G25" s="381" t="str">
        <f>$A$7</f>
        <v>OASI - .062</v>
      </c>
      <c r="H25" s="341">
        <f>$B$7</f>
        <v>310</v>
      </c>
      <c r="I25" s="349"/>
      <c r="J25" s="366" t="s">
        <v>179</v>
      </c>
      <c r="K25" s="359">
        <f>SUM(K17:K24)</f>
        <v>2280.3119999999999</v>
      </c>
    </row>
    <row r="26" spans="1:11" ht="15.75" customHeight="1">
      <c r="A26" s="356" t="s">
        <v>302</v>
      </c>
      <c r="B26" s="355">
        <f>B24/B1</f>
        <v>4.8564533333333333E-2</v>
      </c>
      <c r="D26" s="366" t="str">
        <f>$A$8</f>
        <v>Medicare - .0145</v>
      </c>
      <c r="E26" s="336">
        <f>$B$8</f>
        <v>72.5</v>
      </c>
      <c r="F26" s="349"/>
      <c r="G26" s="366" t="str">
        <f>$A$8</f>
        <v>Medicare - .0145</v>
      </c>
      <c r="H26" s="336">
        <f>$B$8</f>
        <v>72.5</v>
      </c>
      <c r="I26" s="349"/>
      <c r="J26" s="380"/>
      <c r="K26" s="379"/>
    </row>
    <row r="27" spans="1:11" s="373" customFormat="1" ht="16.5" customHeight="1">
      <c r="A27" s="523" t="s">
        <v>331</v>
      </c>
      <c r="B27" s="524"/>
      <c r="D27" s="378" t="s">
        <v>304</v>
      </c>
      <c r="E27" s="377">
        <f>SUM(B1*0.1)</f>
        <v>500</v>
      </c>
      <c r="F27" s="376"/>
      <c r="G27" s="378" t="s">
        <v>304</v>
      </c>
      <c r="H27" s="377">
        <f>SUM($B$1*0.1)</f>
        <v>500</v>
      </c>
      <c r="I27" s="376"/>
      <c r="J27" s="375" t="s">
        <v>302</v>
      </c>
      <c r="K27" s="374">
        <f>SUM(K25/$B$1)</f>
        <v>0.45606239999999998</v>
      </c>
    </row>
    <row r="28" spans="1:11" ht="16.5" customHeight="1">
      <c r="A28" s="371" t="s">
        <v>357</v>
      </c>
      <c r="B28" s="370">
        <f>5272/4.5</f>
        <v>1171.5555555555557</v>
      </c>
      <c r="D28" s="366" t="str">
        <f>$A$10</f>
        <v>Unempl - .005</v>
      </c>
      <c r="E28" s="336">
        <f>$B$10</f>
        <v>25</v>
      </c>
      <c r="F28" s="349"/>
      <c r="G28" s="366" t="str">
        <f>$A$10</f>
        <v>Unempl - .005</v>
      </c>
      <c r="H28" s="336">
        <f>$B$10</f>
        <v>25</v>
      </c>
      <c r="I28" s="349"/>
      <c r="J28" s="372" t="s">
        <v>358</v>
      </c>
    </row>
    <row r="29" spans="1:11" ht="16.5" customHeight="1">
      <c r="A29" s="371" t="s">
        <v>355</v>
      </c>
      <c r="B29" s="370">
        <f>B22</f>
        <v>18.156000000000002</v>
      </c>
      <c r="D29" s="369" t="str">
        <f>$A$11</f>
        <v>Med. Aid  - .22695 x 160</v>
      </c>
      <c r="E29" s="336">
        <f>$B$11</f>
        <v>36.312000000000005</v>
      </c>
      <c r="F29" s="349"/>
      <c r="G29" s="369" t="str">
        <f>$A$11</f>
        <v>Med. Aid  - .22695 x 160</v>
      </c>
      <c r="H29" s="336">
        <f>$B$11</f>
        <v>36.312000000000005</v>
      </c>
      <c r="I29" s="349"/>
      <c r="J29" s="320" t="s">
        <v>305</v>
      </c>
    </row>
    <row r="30" spans="1:11" ht="17.25" customHeight="1">
      <c r="A30" s="368" t="str">
        <f>A23</f>
        <v>Health ($1,011/semester)</v>
      </c>
      <c r="B30" s="367">
        <f>B23</f>
        <v>224.66666666666666</v>
      </c>
      <c r="D30" s="366" t="str">
        <f>$A$12</f>
        <v>Health</v>
      </c>
      <c r="E30" s="334">
        <f>$B$12</f>
        <v>913</v>
      </c>
      <c r="F30" s="349"/>
      <c r="G30" s="366" t="str">
        <f>$A$12</f>
        <v>Health</v>
      </c>
      <c r="H30" s="365">
        <f>$B$12</f>
        <v>913</v>
      </c>
      <c r="I30" s="349"/>
      <c r="J30" s="320" t="s">
        <v>306</v>
      </c>
    </row>
    <row r="31" spans="1:11" ht="16.5" customHeight="1">
      <c r="A31" s="361" t="s">
        <v>179</v>
      </c>
      <c r="B31" s="364">
        <f>SUM(B28:B30)</f>
        <v>1414.3782222222223</v>
      </c>
      <c r="D31" s="358" t="s">
        <v>179</v>
      </c>
      <c r="E31" s="363">
        <f>SUM(E25:E30)</f>
        <v>1856.8119999999999</v>
      </c>
      <c r="F31" s="349"/>
      <c r="G31" s="358" t="s">
        <v>179</v>
      </c>
      <c r="H31" s="362">
        <f>SUM(H25:H30)</f>
        <v>1856.8119999999999</v>
      </c>
      <c r="I31" s="349"/>
    </row>
    <row r="32" spans="1:11" ht="16.5" customHeight="1">
      <c r="A32" s="361"/>
      <c r="B32" s="360"/>
      <c r="D32" s="358"/>
      <c r="E32" s="359"/>
      <c r="F32" s="349"/>
      <c r="G32" s="358"/>
      <c r="H32" s="357"/>
      <c r="I32" s="349"/>
    </row>
    <row r="33" spans="1:11" ht="16.5" customHeight="1">
      <c r="A33" s="356" t="s">
        <v>302</v>
      </c>
      <c r="B33" s="355">
        <f>B31/B1</f>
        <v>0.28287564444444446</v>
      </c>
      <c r="D33" s="354" t="s">
        <v>302</v>
      </c>
      <c r="E33" s="353">
        <f>SUM(E31/B1)</f>
        <v>0.37136239999999998</v>
      </c>
      <c r="F33" s="349"/>
      <c r="G33" s="354" t="s">
        <v>302</v>
      </c>
      <c r="H33" s="353">
        <f>SUM(H31/B1)</f>
        <v>0.37136239999999998</v>
      </c>
      <c r="I33" s="349"/>
      <c r="J33" s="322"/>
    </row>
    <row r="34" spans="1:11" ht="16.5" customHeight="1">
      <c r="D34" s="351"/>
      <c r="E34" s="352"/>
      <c r="F34" s="349"/>
      <c r="G34" s="351"/>
      <c r="H34" s="350"/>
      <c r="I34" s="349"/>
    </row>
    <row r="35" spans="1:11" ht="16.5" customHeight="1">
      <c r="A35" s="523" t="s">
        <v>359</v>
      </c>
      <c r="B35" s="524"/>
      <c r="D35" s="347" t="s">
        <v>307</v>
      </c>
      <c r="E35" s="348"/>
      <c r="G35" s="347" t="s">
        <v>308</v>
      </c>
      <c r="H35" s="346"/>
      <c r="K35" s="345"/>
    </row>
    <row r="36" spans="1:11" ht="16.5" customHeight="1">
      <c r="A36" s="320" t="s">
        <v>360</v>
      </c>
      <c r="B36" s="320" t="s">
        <v>361</v>
      </c>
      <c r="D36" s="343" t="s">
        <v>309</v>
      </c>
      <c r="E36" s="344" t="s">
        <v>172</v>
      </c>
      <c r="G36" s="343" t="s">
        <v>310</v>
      </c>
      <c r="H36" s="342"/>
    </row>
    <row r="37" spans="1:11" ht="16.5" customHeight="1">
      <c r="A37" s="371"/>
      <c r="D37" s="340" t="str">
        <f>A7</f>
        <v>OASI - .062</v>
      </c>
      <c r="E37" s="341">
        <f>$B$7</f>
        <v>310</v>
      </c>
      <c r="G37" s="340" t="str">
        <f>A7</f>
        <v>OASI - .062</v>
      </c>
      <c r="H37" s="339">
        <f>B7</f>
        <v>310</v>
      </c>
    </row>
    <row r="38" spans="1:11" ht="16.5" customHeight="1">
      <c r="D38" s="329" t="str">
        <f>A8</f>
        <v>Medicare - .0145</v>
      </c>
      <c r="E38" s="336">
        <f>$B$8</f>
        <v>72.5</v>
      </c>
      <c r="G38" s="329" t="str">
        <f>A8</f>
        <v>Medicare - .0145</v>
      </c>
      <c r="H38" s="328">
        <f>SUM(B1*0.0145)</f>
        <v>72.5</v>
      </c>
    </row>
    <row r="39" spans="1:11" ht="16.5" customHeight="1">
      <c r="D39" s="338" t="s">
        <v>362</v>
      </c>
      <c r="E39" s="328">
        <f>$B$9</f>
        <v>460.5</v>
      </c>
      <c r="G39" s="337" t="s">
        <v>363</v>
      </c>
      <c r="H39" s="328">
        <f>SUM(B1*0.1039)</f>
        <v>519.5</v>
      </c>
    </row>
    <row r="40" spans="1:11" ht="16.5" customHeight="1">
      <c r="D40" s="329" t="str">
        <f>A10</f>
        <v>Unempl - .005</v>
      </c>
      <c r="E40" s="336">
        <f>$B$10</f>
        <v>25</v>
      </c>
      <c r="G40" s="329" t="str">
        <f t="shared" ref="G40:H42" si="0">A10</f>
        <v>Unempl - .005</v>
      </c>
      <c r="H40" s="328">
        <f t="shared" si="0"/>
        <v>25</v>
      </c>
    </row>
    <row r="41" spans="1:11" ht="16.5" customHeight="1">
      <c r="D41" s="335" t="str">
        <f>A11</f>
        <v>Med. Aid  - .22695 x 160</v>
      </c>
      <c r="E41" s="336">
        <f>$B$11</f>
        <v>36.312000000000005</v>
      </c>
      <c r="G41" s="335" t="str">
        <f t="shared" si="0"/>
        <v>Med. Aid  - .22695 x 160</v>
      </c>
      <c r="H41" s="328">
        <f t="shared" si="0"/>
        <v>36.312000000000005</v>
      </c>
    </row>
    <row r="42" spans="1:11" ht="16.5" customHeight="1">
      <c r="D42" s="333" t="str">
        <f>A12</f>
        <v>Health</v>
      </c>
      <c r="E42" s="334">
        <f>$B$12</f>
        <v>913</v>
      </c>
      <c r="G42" s="333" t="str">
        <f t="shared" si="0"/>
        <v>Health</v>
      </c>
      <c r="H42" s="332">
        <f t="shared" si="0"/>
        <v>913</v>
      </c>
    </row>
    <row r="43" spans="1:11" ht="16.5" customHeight="1">
      <c r="D43" s="329" t="str">
        <f>A13</f>
        <v>TOTAL BENEFITS</v>
      </c>
      <c r="E43" s="331">
        <f>SUM(E37:E42)</f>
        <v>1817.3119999999999</v>
      </c>
      <c r="G43" s="329" t="s">
        <v>179</v>
      </c>
      <c r="H43" s="330">
        <f>SUM(H37:H42)</f>
        <v>1876.3119999999999</v>
      </c>
    </row>
    <row r="44" spans="1:11" ht="16.5" customHeight="1">
      <c r="D44" s="329"/>
      <c r="E44" s="328"/>
      <c r="G44" s="327"/>
      <c r="H44" s="326"/>
    </row>
    <row r="45" spans="1:11" ht="16.5" customHeight="1">
      <c r="D45" s="324" t="s">
        <v>302</v>
      </c>
      <c r="E45" s="325">
        <f>SUM(E43/B1)</f>
        <v>0.36346239999999996</v>
      </c>
      <c r="G45" s="324" t="s">
        <v>180</v>
      </c>
      <c r="H45" s="323">
        <f>SUM(H43/B1)</f>
        <v>0.3752624</v>
      </c>
    </row>
    <row r="46" spans="1:11">
      <c r="A46" s="322"/>
    </row>
    <row r="47" spans="1:11">
      <c r="A47" s="320" t="s">
        <v>311</v>
      </c>
    </row>
  </sheetData>
  <mergeCells count="9">
    <mergeCell ref="A21:B21"/>
    <mergeCell ref="A27:B27"/>
    <mergeCell ref="A35:B35"/>
    <mergeCell ref="A2:B2"/>
    <mergeCell ref="A4:K4"/>
    <mergeCell ref="A5:B5"/>
    <mergeCell ref="D5:E5"/>
    <mergeCell ref="G5:H5"/>
    <mergeCell ref="J5:K5"/>
  </mergeCell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pageSetUpPr fitToPage="1"/>
  </sheetPr>
  <dimension ref="A1:BX55"/>
  <sheetViews>
    <sheetView zoomScaleNormal="100" workbookViewId="0">
      <selection activeCell="H30" sqref="H30"/>
    </sheetView>
  </sheetViews>
  <sheetFormatPr defaultRowHeight="13.5"/>
  <cols>
    <col min="1" max="1" width="12.5703125" style="450" customWidth="1"/>
    <col min="2" max="2" width="7.7109375" style="424" customWidth="1"/>
    <col min="3" max="18" width="9.7109375" style="424" customWidth="1"/>
    <col min="19" max="19" width="11.42578125" style="424" hidden="1" customWidth="1"/>
    <col min="20" max="20" width="7.5703125" style="424" hidden="1" customWidth="1"/>
    <col min="21" max="21" width="5" style="424" hidden="1" customWidth="1"/>
    <col min="22" max="22" width="10.42578125" style="424" hidden="1" customWidth="1"/>
    <col min="23" max="23" width="10.140625" style="424" hidden="1" customWidth="1"/>
    <col min="24" max="76" width="11.42578125" style="424" hidden="1" customWidth="1"/>
    <col min="77" max="79" width="9.140625" style="424" customWidth="1"/>
    <col min="80" max="256" width="9.140625" style="424"/>
    <col min="257" max="257" width="12.5703125" style="424" customWidth="1"/>
    <col min="258" max="258" width="7.7109375" style="424" customWidth="1"/>
    <col min="259" max="274" width="9.7109375" style="424" customWidth="1"/>
    <col min="275" max="332" width="0" style="424" hidden="1" customWidth="1"/>
    <col min="333" max="335" width="9.140625" style="424" customWidth="1"/>
    <col min="336" max="512" width="9.140625" style="424"/>
    <col min="513" max="513" width="12.5703125" style="424" customWidth="1"/>
    <col min="514" max="514" width="7.7109375" style="424" customWidth="1"/>
    <col min="515" max="530" width="9.7109375" style="424" customWidth="1"/>
    <col min="531" max="588" width="0" style="424" hidden="1" customWidth="1"/>
    <col min="589" max="591" width="9.140625" style="424" customWidth="1"/>
    <col min="592" max="768" width="9.140625" style="424"/>
    <col min="769" max="769" width="12.5703125" style="424" customWidth="1"/>
    <col min="770" max="770" width="7.7109375" style="424" customWidth="1"/>
    <col min="771" max="786" width="9.7109375" style="424" customWidth="1"/>
    <col min="787" max="844" width="0" style="424" hidden="1" customWidth="1"/>
    <col min="845" max="847" width="9.140625" style="424" customWidth="1"/>
    <col min="848" max="1024" width="9.140625" style="424"/>
    <col min="1025" max="1025" width="12.5703125" style="424" customWidth="1"/>
    <col min="1026" max="1026" width="7.7109375" style="424" customWidth="1"/>
    <col min="1027" max="1042" width="9.7109375" style="424" customWidth="1"/>
    <col min="1043" max="1100" width="0" style="424" hidden="1" customWidth="1"/>
    <col min="1101" max="1103" width="9.140625" style="424" customWidth="1"/>
    <col min="1104" max="1280" width="9.140625" style="424"/>
    <col min="1281" max="1281" width="12.5703125" style="424" customWidth="1"/>
    <col min="1282" max="1282" width="7.7109375" style="424" customWidth="1"/>
    <col min="1283" max="1298" width="9.7109375" style="424" customWidth="1"/>
    <col min="1299" max="1356" width="0" style="424" hidden="1" customWidth="1"/>
    <col min="1357" max="1359" width="9.140625" style="424" customWidth="1"/>
    <col min="1360" max="1536" width="9.140625" style="424"/>
    <col min="1537" max="1537" width="12.5703125" style="424" customWidth="1"/>
    <col min="1538" max="1538" width="7.7109375" style="424" customWidth="1"/>
    <col min="1539" max="1554" width="9.7109375" style="424" customWidth="1"/>
    <col min="1555" max="1612" width="0" style="424" hidden="1" customWidth="1"/>
    <col min="1613" max="1615" width="9.140625" style="424" customWidth="1"/>
    <col min="1616" max="1792" width="9.140625" style="424"/>
    <col min="1793" max="1793" width="12.5703125" style="424" customWidth="1"/>
    <col min="1794" max="1794" width="7.7109375" style="424" customWidth="1"/>
    <col min="1795" max="1810" width="9.7109375" style="424" customWidth="1"/>
    <col min="1811" max="1868" width="0" style="424" hidden="1" customWidth="1"/>
    <col min="1869" max="1871" width="9.140625" style="424" customWidth="1"/>
    <col min="1872" max="2048" width="9.140625" style="424"/>
    <col min="2049" max="2049" width="12.5703125" style="424" customWidth="1"/>
    <col min="2050" max="2050" width="7.7109375" style="424" customWidth="1"/>
    <col min="2051" max="2066" width="9.7109375" style="424" customWidth="1"/>
    <col min="2067" max="2124" width="0" style="424" hidden="1" customWidth="1"/>
    <col min="2125" max="2127" width="9.140625" style="424" customWidth="1"/>
    <col min="2128" max="2304" width="9.140625" style="424"/>
    <col min="2305" max="2305" width="12.5703125" style="424" customWidth="1"/>
    <col min="2306" max="2306" width="7.7109375" style="424" customWidth="1"/>
    <col min="2307" max="2322" width="9.7109375" style="424" customWidth="1"/>
    <col min="2323" max="2380" width="0" style="424" hidden="1" customWidth="1"/>
    <col min="2381" max="2383" width="9.140625" style="424" customWidth="1"/>
    <col min="2384" max="2560" width="9.140625" style="424"/>
    <col min="2561" max="2561" width="12.5703125" style="424" customWidth="1"/>
    <col min="2562" max="2562" width="7.7109375" style="424" customWidth="1"/>
    <col min="2563" max="2578" width="9.7109375" style="424" customWidth="1"/>
    <col min="2579" max="2636" width="0" style="424" hidden="1" customWidth="1"/>
    <col min="2637" max="2639" width="9.140625" style="424" customWidth="1"/>
    <col min="2640" max="2816" width="9.140625" style="424"/>
    <col min="2817" max="2817" width="12.5703125" style="424" customWidth="1"/>
    <col min="2818" max="2818" width="7.7109375" style="424" customWidth="1"/>
    <col min="2819" max="2834" width="9.7109375" style="424" customWidth="1"/>
    <col min="2835" max="2892" width="0" style="424" hidden="1" customWidth="1"/>
    <col min="2893" max="2895" width="9.140625" style="424" customWidth="1"/>
    <col min="2896" max="3072" width="9.140625" style="424"/>
    <col min="3073" max="3073" width="12.5703125" style="424" customWidth="1"/>
    <col min="3074" max="3074" width="7.7109375" style="424" customWidth="1"/>
    <col min="3075" max="3090" width="9.7109375" style="424" customWidth="1"/>
    <col min="3091" max="3148" width="0" style="424" hidden="1" customWidth="1"/>
    <col min="3149" max="3151" width="9.140625" style="424" customWidth="1"/>
    <col min="3152" max="3328" width="9.140625" style="424"/>
    <col min="3329" max="3329" width="12.5703125" style="424" customWidth="1"/>
    <col min="3330" max="3330" width="7.7109375" style="424" customWidth="1"/>
    <col min="3331" max="3346" width="9.7109375" style="424" customWidth="1"/>
    <col min="3347" max="3404" width="0" style="424" hidden="1" customWidth="1"/>
    <col min="3405" max="3407" width="9.140625" style="424" customWidth="1"/>
    <col min="3408" max="3584" width="9.140625" style="424"/>
    <col min="3585" max="3585" width="12.5703125" style="424" customWidth="1"/>
    <col min="3586" max="3586" width="7.7109375" style="424" customWidth="1"/>
    <col min="3587" max="3602" width="9.7109375" style="424" customWidth="1"/>
    <col min="3603" max="3660" width="0" style="424" hidden="1" customWidth="1"/>
    <col min="3661" max="3663" width="9.140625" style="424" customWidth="1"/>
    <col min="3664" max="3840" width="9.140625" style="424"/>
    <col min="3841" max="3841" width="12.5703125" style="424" customWidth="1"/>
    <col min="3842" max="3842" width="7.7109375" style="424" customWidth="1"/>
    <col min="3843" max="3858" width="9.7109375" style="424" customWidth="1"/>
    <col min="3859" max="3916" width="0" style="424" hidden="1" customWidth="1"/>
    <col min="3917" max="3919" width="9.140625" style="424" customWidth="1"/>
    <col min="3920" max="4096" width="9.140625" style="424"/>
    <col min="4097" max="4097" width="12.5703125" style="424" customWidth="1"/>
    <col min="4098" max="4098" width="7.7109375" style="424" customWidth="1"/>
    <col min="4099" max="4114" width="9.7109375" style="424" customWidth="1"/>
    <col min="4115" max="4172" width="0" style="424" hidden="1" customWidth="1"/>
    <col min="4173" max="4175" width="9.140625" style="424" customWidth="1"/>
    <col min="4176" max="4352" width="9.140625" style="424"/>
    <col min="4353" max="4353" width="12.5703125" style="424" customWidth="1"/>
    <col min="4354" max="4354" width="7.7109375" style="424" customWidth="1"/>
    <col min="4355" max="4370" width="9.7109375" style="424" customWidth="1"/>
    <col min="4371" max="4428" width="0" style="424" hidden="1" customWidth="1"/>
    <col min="4429" max="4431" width="9.140625" style="424" customWidth="1"/>
    <col min="4432" max="4608" width="9.140625" style="424"/>
    <col min="4609" max="4609" width="12.5703125" style="424" customWidth="1"/>
    <col min="4610" max="4610" width="7.7109375" style="424" customWidth="1"/>
    <col min="4611" max="4626" width="9.7109375" style="424" customWidth="1"/>
    <col min="4627" max="4684" width="0" style="424" hidden="1" customWidth="1"/>
    <col min="4685" max="4687" width="9.140625" style="424" customWidth="1"/>
    <col min="4688" max="4864" width="9.140625" style="424"/>
    <col min="4865" max="4865" width="12.5703125" style="424" customWidth="1"/>
    <col min="4866" max="4866" width="7.7109375" style="424" customWidth="1"/>
    <col min="4867" max="4882" width="9.7109375" style="424" customWidth="1"/>
    <col min="4883" max="4940" width="0" style="424" hidden="1" customWidth="1"/>
    <col min="4941" max="4943" width="9.140625" style="424" customWidth="1"/>
    <col min="4944" max="5120" width="9.140625" style="424"/>
    <col min="5121" max="5121" width="12.5703125" style="424" customWidth="1"/>
    <col min="5122" max="5122" width="7.7109375" style="424" customWidth="1"/>
    <col min="5123" max="5138" width="9.7109375" style="424" customWidth="1"/>
    <col min="5139" max="5196" width="0" style="424" hidden="1" customWidth="1"/>
    <col min="5197" max="5199" width="9.140625" style="424" customWidth="1"/>
    <col min="5200" max="5376" width="9.140625" style="424"/>
    <col min="5377" max="5377" width="12.5703125" style="424" customWidth="1"/>
    <col min="5378" max="5378" width="7.7109375" style="424" customWidth="1"/>
    <col min="5379" max="5394" width="9.7109375" style="424" customWidth="1"/>
    <col min="5395" max="5452" width="0" style="424" hidden="1" customWidth="1"/>
    <col min="5453" max="5455" width="9.140625" style="424" customWidth="1"/>
    <col min="5456" max="5632" width="9.140625" style="424"/>
    <col min="5633" max="5633" width="12.5703125" style="424" customWidth="1"/>
    <col min="5634" max="5634" width="7.7109375" style="424" customWidth="1"/>
    <col min="5635" max="5650" width="9.7109375" style="424" customWidth="1"/>
    <col min="5651" max="5708" width="0" style="424" hidden="1" customWidth="1"/>
    <col min="5709" max="5711" width="9.140625" style="424" customWidth="1"/>
    <col min="5712" max="5888" width="9.140625" style="424"/>
    <col min="5889" max="5889" width="12.5703125" style="424" customWidth="1"/>
    <col min="5890" max="5890" width="7.7109375" style="424" customWidth="1"/>
    <col min="5891" max="5906" width="9.7109375" style="424" customWidth="1"/>
    <col min="5907" max="5964" width="0" style="424" hidden="1" customWidth="1"/>
    <col min="5965" max="5967" width="9.140625" style="424" customWidth="1"/>
    <col min="5968" max="6144" width="9.140625" style="424"/>
    <col min="6145" max="6145" width="12.5703125" style="424" customWidth="1"/>
    <col min="6146" max="6146" width="7.7109375" style="424" customWidth="1"/>
    <col min="6147" max="6162" width="9.7109375" style="424" customWidth="1"/>
    <col min="6163" max="6220" width="0" style="424" hidden="1" customWidth="1"/>
    <col min="6221" max="6223" width="9.140625" style="424" customWidth="1"/>
    <col min="6224" max="6400" width="9.140625" style="424"/>
    <col min="6401" max="6401" width="12.5703125" style="424" customWidth="1"/>
    <col min="6402" max="6402" width="7.7109375" style="424" customWidth="1"/>
    <col min="6403" max="6418" width="9.7109375" style="424" customWidth="1"/>
    <col min="6419" max="6476" width="0" style="424" hidden="1" customWidth="1"/>
    <col min="6477" max="6479" width="9.140625" style="424" customWidth="1"/>
    <col min="6480" max="6656" width="9.140625" style="424"/>
    <col min="6657" max="6657" width="12.5703125" style="424" customWidth="1"/>
    <col min="6658" max="6658" width="7.7109375" style="424" customWidth="1"/>
    <col min="6659" max="6674" width="9.7109375" style="424" customWidth="1"/>
    <col min="6675" max="6732" width="0" style="424" hidden="1" customWidth="1"/>
    <col min="6733" max="6735" width="9.140625" style="424" customWidth="1"/>
    <col min="6736" max="6912" width="9.140625" style="424"/>
    <col min="6913" max="6913" width="12.5703125" style="424" customWidth="1"/>
    <col min="6914" max="6914" width="7.7109375" style="424" customWidth="1"/>
    <col min="6915" max="6930" width="9.7109375" style="424" customWidth="1"/>
    <col min="6931" max="6988" width="0" style="424" hidden="1" customWidth="1"/>
    <col min="6989" max="6991" width="9.140625" style="424" customWidth="1"/>
    <col min="6992" max="7168" width="9.140625" style="424"/>
    <col min="7169" max="7169" width="12.5703125" style="424" customWidth="1"/>
    <col min="7170" max="7170" width="7.7109375" style="424" customWidth="1"/>
    <col min="7171" max="7186" width="9.7109375" style="424" customWidth="1"/>
    <col min="7187" max="7244" width="0" style="424" hidden="1" customWidth="1"/>
    <col min="7245" max="7247" width="9.140625" style="424" customWidth="1"/>
    <col min="7248" max="7424" width="9.140625" style="424"/>
    <col min="7425" max="7425" width="12.5703125" style="424" customWidth="1"/>
    <col min="7426" max="7426" width="7.7109375" style="424" customWidth="1"/>
    <col min="7427" max="7442" width="9.7109375" style="424" customWidth="1"/>
    <col min="7443" max="7500" width="0" style="424" hidden="1" customWidth="1"/>
    <col min="7501" max="7503" width="9.140625" style="424" customWidth="1"/>
    <col min="7504" max="7680" width="9.140625" style="424"/>
    <col min="7681" max="7681" width="12.5703125" style="424" customWidth="1"/>
    <col min="7682" max="7682" width="7.7109375" style="424" customWidth="1"/>
    <col min="7683" max="7698" width="9.7109375" style="424" customWidth="1"/>
    <col min="7699" max="7756" width="0" style="424" hidden="1" customWidth="1"/>
    <col min="7757" max="7759" width="9.140625" style="424" customWidth="1"/>
    <col min="7760" max="7936" width="9.140625" style="424"/>
    <col min="7937" max="7937" width="12.5703125" style="424" customWidth="1"/>
    <col min="7938" max="7938" width="7.7109375" style="424" customWidth="1"/>
    <col min="7939" max="7954" width="9.7109375" style="424" customWidth="1"/>
    <col min="7955" max="8012" width="0" style="424" hidden="1" customWidth="1"/>
    <col min="8013" max="8015" width="9.140625" style="424" customWidth="1"/>
    <col min="8016" max="8192" width="9.140625" style="424"/>
    <col min="8193" max="8193" width="12.5703125" style="424" customWidth="1"/>
    <col min="8194" max="8194" width="7.7109375" style="424" customWidth="1"/>
    <col min="8195" max="8210" width="9.7109375" style="424" customWidth="1"/>
    <col min="8211" max="8268" width="0" style="424" hidden="1" customWidth="1"/>
    <col min="8269" max="8271" width="9.140625" style="424" customWidth="1"/>
    <col min="8272" max="8448" width="9.140625" style="424"/>
    <col min="8449" max="8449" width="12.5703125" style="424" customWidth="1"/>
    <col min="8450" max="8450" width="7.7109375" style="424" customWidth="1"/>
    <col min="8451" max="8466" width="9.7109375" style="424" customWidth="1"/>
    <col min="8467" max="8524" width="0" style="424" hidden="1" customWidth="1"/>
    <col min="8525" max="8527" width="9.140625" style="424" customWidth="1"/>
    <col min="8528" max="8704" width="9.140625" style="424"/>
    <col min="8705" max="8705" width="12.5703125" style="424" customWidth="1"/>
    <col min="8706" max="8706" width="7.7109375" style="424" customWidth="1"/>
    <col min="8707" max="8722" width="9.7109375" style="424" customWidth="1"/>
    <col min="8723" max="8780" width="0" style="424" hidden="1" customWidth="1"/>
    <col min="8781" max="8783" width="9.140625" style="424" customWidth="1"/>
    <col min="8784" max="8960" width="9.140625" style="424"/>
    <col min="8961" max="8961" width="12.5703125" style="424" customWidth="1"/>
    <col min="8962" max="8962" width="7.7109375" style="424" customWidth="1"/>
    <col min="8963" max="8978" width="9.7109375" style="424" customWidth="1"/>
    <col min="8979" max="9036" width="0" style="424" hidden="1" customWidth="1"/>
    <col min="9037" max="9039" width="9.140625" style="424" customWidth="1"/>
    <col min="9040" max="9216" width="9.140625" style="424"/>
    <col min="9217" max="9217" width="12.5703125" style="424" customWidth="1"/>
    <col min="9218" max="9218" width="7.7109375" style="424" customWidth="1"/>
    <col min="9219" max="9234" width="9.7109375" style="424" customWidth="1"/>
    <col min="9235" max="9292" width="0" style="424" hidden="1" customWidth="1"/>
    <col min="9293" max="9295" width="9.140625" style="424" customWidth="1"/>
    <col min="9296" max="9472" width="9.140625" style="424"/>
    <col min="9473" max="9473" width="12.5703125" style="424" customWidth="1"/>
    <col min="9474" max="9474" width="7.7109375" style="424" customWidth="1"/>
    <col min="9475" max="9490" width="9.7109375" style="424" customWidth="1"/>
    <col min="9491" max="9548" width="0" style="424" hidden="1" customWidth="1"/>
    <col min="9549" max="9551" width="9.140625" style="424" customWidth="1"/>
    <col min="9552" max="9728" width="9.140625" style="424"/>
    <col min="9729" max="9729" width="12.5703125" style="424" customWidth="1"/>
    <col min="9730" max="9730" width="7.7109375" style="424" customWidth="1"/>
    <col min="9731" max="9746" width="9.7109375" style="424" customWidth="1"/>
    <col min="9747" max="9804" width="0" style="424" hidden="1" customWidth="1"/>
    <col min="9805" max="9807" width="9.140625" style="424" customWidth="1"/>
    <col min="9808" max="9984" width="9.140625" style="424"/>
    <col min="9985" max="9985" width="12.5703125" style="424" customWidth="1"/>
    <col min="9986" max="9986" width="7.7109375" style="424" customWidth="1"/>
    <col min="9987" max="10002" width="9.7109375" style="424" customWidth="1"/>
    <col min="10003" max="10060" width="0" style="424" hidden="1" customWidth="1"/>
    <col min="10061" max="10063" width="9.140625" style="424" customWidth="1"/>
    <col min="10064" max="10240" width="9.140625" style="424"/>
    <col min="10241" max="10241" width="12.5703125" style="424" customWidth="1"/>
    <col min="10242" max="10242" width="7.7109375" style="424" customWidth="1"/>
    <col min="10243" max="10258" width="9.7109375" style="424" customWidth="1"/>
    <col min="10259" max="10316" width="0" style="424" hidden="1" customWidth="1"/>
    <col min="10317" max="10319" width="9.140625" style="424" customWidth="1"/>
    <col min="10320" max="10496" width="9.140625" style="424"/>
    <col min="10497" max="10497" width="12.5703125" style="424" customWidth="1"/>
    <col min="10498" max="10498" width="7.7109375" style="424" customWidth="1"/>
    <col min="10499" max="10514" width="9.7109375" style="424" customWidth="1"/>
    <col min="10515" max="10572" width="0" style="424" hidden="1" customWidth="1"/>
    <col min="10573" max="10575" width="9.140625" style="424" customWidth="1"/>
    <col min="10576" max="10752" width="9.140625" style="424"/>
    <col min="10753" max="10753" width="12.5703125" style="424" customWidth="1"/>
    <col min="10754" max="10754" width="7.7109375" style="424" customWidth="1"/>
    <col min="10755" max="10770" width="9.7109375" style="424" customWidth="1"/>
    <col min="10771" max="10828" width="0" style="424" hidden="1" customWidth="1"/>
    <col min="10829" max="10831" width="9.140625" style="424" customWidth="1"/>
    <col min="10832" max="11008" width="9.140625" style="424"/>
    <col min="11009" max="11009" width="12.5703125" style="424" customWidth="1"/>
    <col min="11010" max="11010" width="7.7109375" style="424" customWidth="1"/>
    <col min="11011" max="11026" width="9.7109375" style="424" customWidth="1"/>
    <col min="11027" max="11084" width="0" style="424" hidden="1" customWidth="1"/>
    <col min="11085" max="11087" width="9.140625" style="424" customWidth="1"/>
    <col min="11088" max="11264" width="9.140625" style="424"/>
    <col min="11265" max="11265" width="12.5703125" style="424" customWidth="1"/>
    <col min="11266" max="11266" width="7.7109375" style="424" customWidth="1"/>
    <col min="11267" max="11282" width="9.7109375" style="424" customWidth="1"/>
    <col min="11283" max="11340" width="0" style="424" hidden="1" customWidth="1"/>
    <col min="11341" max="11343" width="9.140625" style="424" customWidth="1"/>
    <col min="11344" max="11520" width="9.140625" style="424"/>
    <col min="11521" max="11521" width="12.5703125" style="424" customWidth="1"/>
    <col min="11522" max="11522" width="7.7109375" style="424" customWidth="1"/>
    <col min="11523" max="11538" width="9.7109375" style="424" customWidth="1"/>
    <col min="11539" max="11596" width="0" style="424" hidden="1" customWidth="1"/>
    <col min="11597" max="11599" width="9.140625" style="424" customWidth="1"/>
    <col min="11600" max="11776" width="9.140625" style="424"/>
    <col min="11777" max="11777" width="12.5703125" style="424" customWidth="1"/>
    <col min="11778" max="11778" width="7.7109375" style="424" customWidth="1"/>
    <col min="11779" max="11794" width="9.7109375" style="424" customWidth="1"/>
    <col min="11795" max="11852" width="0" style="424" hidden="1" customWidth="1"/>
    <col min="11853" max="11855" width="9.140625" style="424" customWidth="1"/>
    <col min="11856" max="12032" width="9.140625" style="424"/>
    <col min="12033" max="12033" width="12.5703125" style="424" customWidth="1"/>
    <col min="12034" max="12034" width="7.7109375" style="424" customWidth="1"/>
    <col min="12035" max="12050" width="9.7109375" style="424" customWidth="1"/>
    <col min="12051" max="12108" width="0" style="424" hidden="1" customWidth="1"/>
    <col min="12109" max="12111" width="9.140625" style="424" customWidth="1"/>
    <col min="12112" max="12288" width="9.140625" style="424"/>
    <col min="12289" max="12289" width="12.5703125" style="424" customWidth="1"/>
    <col min="12290" max="12290" width="7.7109375" style="424" customWidth="1"/>
    <col min="12291" max="12306" width="9.7109375" style="424" customWidth="1"/>
    <col min="12307" max="12364" width="0" style="424" hidden="1" customWidth="1"/>
    <col min="12365" max="12367" width="9.140625" style="424" customWidth="1"/>
    <col min="12368" max="12544" width="9.140625" style="424"/>
    <col min="12545" max="12545" width="12.5703125" style="424" customWidth="1"/>
    <col min="12546" max="12546" width="7.7109375" style="424" customWidth="1"/>
    <col min="12547" max="12562" width="9.7109375" style="424" customWidth="1"/>
    <col min="12563" max="12620" width="0" style="424" hidden="1" customWidth="1"/>
    <col min="12621" max="12623" width="9.140625" style="424" customWidth="1"/>
    <col min="12624" max="12800" width="9.140625" style="424"/>
    <col min="12801" max="12801" width="12.5703125" style="424" customWidth="1"/>
    <col min="12802" max="12802" width="7.7109375" style="424" customWidth="1"/>
    <col min="12803" max="12818" width="9.7109375" style="424" customWidth="1"/>
    <col min="12819" max="12876" width="0" style="424" hidden="1" customWidth="1"/>
    <col min="12877" max="12879" width="9.140625" style="424" customWidth="1"/>
    <col min="12880" max="13056" width="9.140625" style="424"/>
    <col min="13057" max="13057" width="12.5703125" style="424" customWidth="1"/>
    <col min="13058" max="13058" width="7.7109375" style="424" customWidth="1"/>
    <col min="13059" max="13074" width="9.7109375" style="424" customWidth="1"/>
    <col min="13075" max="13132" width="0" style="424" hidden="1" customWidth="1"/>
    <col min="13133" max="13135" width="9.140625" style="424" customWidth="1"/>
    <col min="13136" max="13312" width="9.140625" style="424"/>
    <col min="13313" max="13313" width="12.5703125" style="424" customWidth="1"/>
    <col min="13314" max="13314" width="7.7109375" style="424" customWidth="1"/>
    <col min="13315" max="13330" width="9.7109375" style="424" customWidth="1"/>
    <col min="13331" max="13388" width="0" style="424" hidden="1" customWidth="1"/>
    <col min="13389" max="13391" width="9.140625" style="424" customWidth="1"/>
    <col min="13392" max="13568" width="9.140625" style="424"/>
    <col min="13569" max="13569" width="12.5703125" style="424" customWidth="1"/>
    <col min="13570" max="13570" width="7.7109375" style="424" customWidth="1"/>
    <col min="13571" max="13586" width="9.7109375" style="424" customWidth="1"/>
    <col min="13587" max="13644" width="0" style="424" hidden="1" customWidth="1"/>
    <col min="13645" max="13647" width="9.140625" style="424" customWidth="1"/>
    <col min="13648" max="13824" width="9.140625" style="424"/>
    <col min="13825" max="13825" width="12.5703125" style="424" customWidth="1"/>
    <col min="13826" max="13826" width="7.7109375" style="424" customWidth="1"/>
    <col min="13827" max="13842" width="9.7109375" style="424" customWidth="1"/>
    <col min="13843" max="13900" width="0" style="424" hidden="1" customWidth="1"/>
    <col min="13901" max="13903" width="9.140625" style="424" customWidth="1"/>
    <col min="13904" max="14080" width="9.140625" style="424"/>
    <col min="14081" max="14081" width="12.5703125" style="424" customWidth="1"/>
    <col min="14082" max="14082" width="7.7109375" style="424" customWidth="1"/>
    <col min="14083" max="14098" width="9.7109375" style="424" customWidth="1"/>
    <col min="14099" max="14156" width="0" style="424" hidden="1" customWidth="1"/>
    <col min="14157" max="14159" width="9.140625" style="424" customWidth="1"/>
    <col min="14160" max="14336" width="9.140625" style="424"/>
    <col min="14337" max="14337" width="12.5703125" style="424" customWidth="1"/>
    <col min="14338" max="14338" width="7.7109375" style="424" customWidth="1"/>
    <col min="14339" max="14354" width="9.7109375" style="424" customWidth="1"/>
    <col min="14355" max="14412" width="0" style="424" hidden="1" customWidth="1"/>
    <col min="14413" max="14415" width="9.140625" style="424" customWidth="1"/>
    <col min="14416" max="14592" width="9.140625" style="424"/>
    <col min="14593" max="14593" width="12.5703125" style="424" customWidth="1"/>
    <col min="14594" max="14594" width="7.7109375" style="424" customWidth="1"/>
    <col min="14595" max="14610" width="9.7109375" style="424" customWidth="1"/>
    <col min="14611" max="14668" width="0" style="424" hidden="1" customWidth="1"/>
    <col min="14669" max="14671" width="9.140625" style="424" customWidth="1"/>
    <col min="14672" max="14848" width="9.140625" style="424"/>
    <col min="14849" max="14849" width="12.5703125" style="424" customWidth="1"/>
    <col min="14850" max="14850" width="7.7109375" style="424" customWidth="1"/>
    <col min="14851" max="14866" width="9.7109375" style="424" customWidth="1"/>
    <col min="14867" max="14924" width="0" style="424" hidden="1" customWidth="1"/>
    <col min="14925" max="14927" width="9.140625" style="424" customWidth="1"/>
    <col min="14928" max="15104" width="9.140625" style="424"/>
    <col min="15105" max="15105" width="12.5703125" style="424" customWidth="1"/>
    <col min="15106" max="15106" width="7.7109375" style="424" customWidth="1"/>
    <col min="15107" max="15122" width="9.7109375" style="424" customWidth="1"/>
    <col min="15123" max="15180" width="0" style="424" hidden="1" customWidth="1"/>
    <col min="15181" max="15183" width="9.140625" style="424" customWidth="1"/>
    <col min="15184" max="15360" width="9.140625" style="424"/>
    <col min="15361" max="15361" width="12.5703125" style="424" customWidth="1"/>
    <col min="15362" max="15362" width="7.7109375" style="424" customWidth="1"/>
    <col min="15363" max="15378" width="9.7109375" style="424" customWidth="1"/>
    <col min="15379" max="15436" width="0" style="424" hidden="1" customWidth="1"/>
    <col min="15437" max="15439" width="9.140625" style="424" customWidth="1"/>
    <col min="15440" max="15616" width="9.140625" style="424"/>
    <col min="15617" max="15617" width="12.5703125" style="424" customWidth="1"/>
    <col min="15618" max="15618" width="7.7109375" style="424" customWidth="1"/>
    <col min="15619" max="15634" width="9.7109375" style="424" customWidth="1"/>
    <col min="15635" max="15692" width="0" style="424" hidden="1" customWidth="1"/>
    <col min="15693" max="15695" width="9.140625" style="424" customWidth="1"/>
    <col min="15696" max="15872" width="9.140625" style="424"/>
    <col min="15873" max="15873" width="12.5703125" style="424" customWidth="1"/>
    <col min="15874" max="15874" width="7.7109375" style="424" customWidth="1"/>
    <col min="15875" max="15890" width="9.7109375" style="424" customWidth="1"/>
    <col min="15891" max="15948" width="0" style="424" hidden="1" customWidth="1"/>
    <col min="15949" max="15951" width="9.140625" style="424" customWidth="1"/>
    <col min="15952" max="16128" width="9.140625" style="424"/>
    <col min="16129" max="16129" width="12.5703125" style="424" customWidth="1"/>
    <col min="16130" max="16130" width="7.7109375" style="424" customWidth="1"/>
    <col min="16131" max="16146" width="9.7109375" style="424" customWidth="1"/>
    <col min="16147" max="16204" width="0" style="424" hidden="1" customWidth="1"/>
    <col min="16205" max="16207" width="9.140625" style="424" customWidth="1"/>
    <col min="16208" max="16384" width="9.140625" style="424"/>
  </cols>
  <sheetData>
    <row r="1" spans="1:76" ht="24.75" thickBot="1">
      <c r="A1" s="421" t="s">
        <v>341</v>
      </c>
      <c r="B1" s="422"/>
      <c r="C1" s="422"/>
      <c r="D1" s="422"/>
      <c r="E1" s="422"/>
      <c r="F1" s="422"/>
      <c r="G1" s="422"/>
      <c r="H1" s="422"/>
      <c r="I1" s="422"/>
      <c r="J1" s="422"/>
      <c r="K1" s="422"/>
      <c r="L1" s="422"/>
      <c r="M1" s="422"/>
      <c r="N1" s="422"/>
      <c r="O1" s="422"/>
      <c r="P1" s="422"/>
      <c r="Q1" s="422"/>
      <c r="R1" s="423"/>
      <c r="T1" s="424" t="s">
        <v>125</v>
      </c>
      <c r="U1" s="425">
        <f>'[1]GRA 26-60 Matrices'!U6</f>
        <v>3155</v>
      </c>
      <c r="V1" s="424">
        <f>ROUND(U1*1.04,0)</f>
        <v>3281</v>
      </c>
      <c r="W1" s="424">
        <f>ROUND(V1*1.04,0)</f>
        <v>3412</v>
      </c>
    </row>
    <row r="2" spans="1:76" ht="20.25" thickTop="1" thickBot="1">
      <c r="A2" s="426" t="s">
        <v>342</v>
      </c>
      <c r="B2" s="427"/>
      <c r="C2" s="428" t="s">
        <v>343</v>
      </c>
      <c r="D2" s="427"/>
      <c r="E2" s="427"/>
      <c r="F2" s="427"/>
      <c r="G2" s="427"/>
      <c r="H2" s="427"/>
      <c r="I2" s="427"/>
      <c r="J2" s="427"/>
      <c r="K2" s="427"/>
      <c r="L2" s="427"/>
      <c r="M2" s="429"/>
      <c r="N2" s="430"/>
      <c r="O2" s="427"/>
      <c r="P2" s="427"/>
      <c r="Q2" s="431"/>
      <c r="R2" s="432"/>
      <c r="T2" s="424" t="s">
        <v>126</v>
      </c>
      <c r="U2" s="425">
        <f>'[1]GRA 26-60 Matrices'!U7</f>
        <v>2973</v>
      </c>
      <c r="V2" s="424">
        <f>ROUND(U2*1.04,0)</f>
        <v>3092</v>
      </c>
      <c r="W2" s="424">
        <f>ROUND(V2*1.04,0)</f>
        <v>3216</v>
      </c>
    </row>
    <row r="4" spans="1:76" ht="15.75">
      <c r="A4" s="177" t="s">
        <v>344</v>
      </c>
      <c r="B4" s="433"/>
      <c r="C4" s="434"/>
      <c r="D4" s="434"/>
      <c r="E4" s="434"/>
      <c r="F4" s="434"/>
      <c r="G4" s="434"/>
      <c r="H4" s="434"/>
      <c r="I4" s="434"/>
      <c r="J4" s="434"/>
      <c r="K4" s="434"/>
      <c r="L4" s="434"/>
      <c r="M4" s="434"/>
      <c r="N4" s="434"/>
      <c r="O4" s="434"/>
      <c r="P4" s="434"/>
      <c r="Q4" s="434"/>
      <c r="R4" s="434"/>
    </row>
    <row r="5" spans="1:76" ht="15.75">
      <c r="A5" s="435"/>
      <c r="B5" s="436" t="s">
        <v>128</v>
      </c>
      <c r="C5" s="434"/>
      <c r="D5" s="434"/>
      <c r="E5" s="434"/>
      <c r="F5" s="434"/>
      <c r="G5" s="434"/>
      <c r="H5" s="434"/>
      <c r="I5" s="434"/>
      <c r="J5" s="434"/>
      <c r="K5" s="434"/>
      <c r="L5" s="434"/>
      <c r="M5" s="434"/>
      <c r="N5" s="434"/>
      <c r="O5" s="434"/>
      <c r="P5" s="434"/>
      <c r="Q5" s="434"/>
      <c r="R5" s="434"/>
      <c r="V5" s="437" t="s">
        <v>127</v>
      </c>
      <c r="W5" s="438">
        <v>0.5</v>
      </c>
      <c r="X5" s="439">
        <f>+(D7-C7)/C7</f>
        <v>1.6904384574749076E-3</v>
      </c>
      <c r="Y5" s="439">
        <f t="shared" ref="Y5:AM5" si="0">+(E7-D7)/D7</f>
        <v>1.6348486446577364E-3</v>
      </c>
      <c r="Z5" s="439">
        <f t="shared" si="0"/>
        <v>1.6848312536197547E-3</v>
      </c>
      <c r="AA5" s="439">
        <f t="shared" si="0"/>
        <v>1.6294349540078843E-3</v>
      </c>
      <c r="AB5" s="439">
        <f t="shared" si="0"/>
        <v>3.3060453400503777E-3</v>
      </c>
      <c r="AC5" s="439">
        <f t="shared" si="0"/>
        <v>3.2951514200533502E-3</v>
      </c>
      <c r="AD5" s="439">
        <f t="shared" si="0"/>
        <v>3.2843290584923367E-3</v>
      </c>
      <c r="AE5" s="439">
        <f t="shared" si="0"/>
        <v>3.2735775526110678E-3</v>
      </c>
      <c r="AF5" s="439">
        <f t="shared" si="0"/>
        <v>3.2628962088253576E-3</v>
      </c>
      <c r="AG5" s="439">
        <f t="shared" si="0"/>
        <v>3.2522843425739508E-3</v>
      </c>
      <c r="AH5" s="439">
        <f t="shared" si="0"/>
        <v>3.2417412781722754E-3</v>
      </c>
      <c r="AI5" s="439">
        <f t="shared" si="0"/>
        <v>3.2312663486690259E-3</v>
      </c>
      <c r="AJ5" s="439">
        <f t="shared" si="0"/>
        <v>1.6359918200408998E-3</v>
      </c>
      <c r="AK5" s="439">
        <f t="shared" si="0"/>
        <v>1.5822784810126582E-3</v>
      </c>
      <c r="AL5" s="439">
        <f t="shared" si="0"/>
        <v>1.630739438414106E-3</v>
      </c>
      <c r="AM5" s="439">
        <f t="shared" si="0"/>
        <v>-1</v>
      </c>
      <c r="AN5" s="440" t="s">
        <v>127</v>
      </c>
      <c r="AO5" s="441">
        <f>+W5</f>
        <v>0.5</v>
      </c>
      <c r="AP5" s="439">
        <f t="shared" ref="AP5:BE5" si="1">+AP17+AP7</f>
        <v>3</v>
      </c>
      <c r="AQ5" s="439">
        <f t="shared" si="1"/>
        <v>3</v>
      </c>
      <c r="AR5" s="439">
        <f t="shared" si="1"/>
        <v>3</v>
      </c>
      <c r="AS5" s="439">
        <f t="shared" si="1"/>
        <v>3</v>
      </c>
      <c r="AT5" s="439">
        <f t="shared" si="1"/>
        <v>3</v>
      </c>
      <c r="AU5" s="439">
        <f t="shared" si="1"/>
        <v>3</v>
      </c>
      <c r="AV5" s="439">
        <f t="shared" si="1"/>
        <v>3</v>
      </c>
      <c r="AW5" s="439">
        <f t="shared" si="1"/>
        <v>3</v>
      </c>
      <c r="AX5" s="439">
        <f t="shared" si="1"/>
        <v>3</v>
      </c>
      <c r="AY5" s="439">
        <f t="shared" si="1"/>
        <v>3</v>
      </c>
      <c r="AZ5" s="439">
        <f t="shared" si="1"/>
        <v>3</v>
      </c>
      <c r="BA5" s="439">
        <f t="shared" si="1"/>
        <v>3</v>
      </c>
      <c r="BB5" s="439">
        <f t="shared" si="1"/>
        <v>3</v>
      </c>
      <c r="BC5" s="439">
        <f t="shared" si="1"/>
        <v>3</v>
      </c>
      <c r="BD5" s="439">
        <f t="shared" si="1"/>
        <v>3</v>
      </c>
      <c r="BE5" s="439">
        <f t="shared" si="1"/>
        <v>3</v>
      </c>
      <c r="BG5" s="440" t="s">
        <v>127</v>
      </c>
      <c r="BH5" s="441">
        <v>0.5</v>
      </c>
      <c r="BI5" s="439"/>
      <c r="BJ5" s="439"/>
      <c r="BK5" s="439"/>
      <c r="BL5" s="439"/>
      <c r="BM5" s="439"/>
      <c r="BN5" s="439"/>
      <c r="BO5" s="439"/>
      <c r="BP5" s="439"/>
      <c r="BQ5" s="439"/>
      <c r="BR5" s="439"/>
      <c r="BS5" s="439"/>
      <c r="BT5" s="439"/>
      <c r="BU5" s="439"/>
      <c r="BV5" s="439"/>
      <c r="BW5" s="439"/>
      <c r="BX5" s="439"/>
    </row>
    <row r="6" spans="1:76" ht="14.25">
      <c r="A6" s="442"/>
      <c r="B6" s="443" t="s">
        <v>132</v>
      </c>
      <c r="C6" s="444">
        <f>'[1]GRA 26-60 Matrices'!C12</f>
        <v>40359</v>
      </c>
      <c r="D6" s="444">
        <f>'[1]GRA 26-60 Matrices'!D12</f>
        <v>40374</v>
      </c>
      <c r="E6" s="444">
        <f>'[1]GRA 26-60 Matrices'!E12</f>
        <v>40390</v>
      </c>
      <c r="F6" s="444">
        <f>'[1]GRA 26-60 Matrices'!F12</f>
        <v>40405</v>
      </c>
      <c r="G6" s="444">
        <f>'[1]GRA 26-60 Matrices'!G12</f>
        <v>40421</v>
      </c>
      <c r="H6" s="444">
        <f>'[1]GRA 26-60 Matrices'!H12</f>
        <v>40451</v>
      </c>
      <c r="I6" s="444">
        <f>'[1]GRA 26-60 Matrices'!I12</f>
        <v>40482</v>
      </c>
      <c r="J6" s="444">
        <f>'[1]GRA 26-60 Matrices'!J12</f>
        <v>40512</v>
      </c>
      <c r="K6" s="444">
        <f>'[1]GRA 26-60 Matrices'!K12</f>
        <v>40543</v>
      </c>
      <c r="L6" s="444">
        <f>'[1]GRA 26-60 Matrices'!L12</f>
        <v>40574</v>
      </c>
      <c r="M6" s="444">
        <f>'[1]GRA 26-60 Matrices'!M12</f>
        <v>40602</v>
      </c>
      <c r="N6" s="444">
        <f>'[1]GRA 26-60 Matrices'!N12</f>
        <v>40633</v>
      </c>
      <c r="O6" s="444">
        <f>'[1]GRA 26-60 Matrices'!O12</f>
        <v>40663</v>
      </c>
      <c r="P6" s="444">
        <f>'[1]GRA 26-60 Matrices'!P12</f>
        <v>40678</v>
      </c>
      <c r="Q6" s="444">
        <f>'[1]GRA 26-60 Matrices'!Q12</f>
        <v>40694</v>
      </c>
      <c r="R6" s="444">
        <f>'[1]GRA 26-60 Matrices'!R12</f>
        <v>40709</v>
      </c>
      <c r="V6" s="445" t="s">
        <v>129</v>
      </c>
      <c r="W6" s="446"/>
      <c r="X6" s="447">
        <f t="shared" ref="X6:AM6" si="2">+C6</f>
        <v>40359</v>
      </c>
      <c r="Y6" s="447">
        <f t="shared" si="2"/>
        <v>40374</v>
      </c>
      <c r="Z6" s="447">
        <f t="shared" si="2"/>
        <v>40390</v>
      </c>
      <c r="AA6" s="447">
        <f t="shared" si="2"/>
        <v>40405</v>
      </c>
      <c r="AB6" s="447">
        <f t="shared" si="2"/>
        <v>40421</v>
      </c>
      <c r="AC6" s="447">
        <f t="shared" si="2"/>
        <v>40451</v>
      </c>
      <c r="AD6" s="447">
        <f t="shared" si="2"/>
        <v>40482</v>
      </c>
      <c r="AE6" s="447">
        <f t="shared" si="2"/>
        <v>40512</v>
      </c>
      <c r="AF6" s="447">
        <f t="shared" si="2"/>
        <v>40543</v>
      </c>
      <c r="AG6" s="447">
        <f t="shared" si="2"/>
        <v>40574</v>
      </c>
      <c r="AH6" s="447">
        <f t="shared" si="2"/>
        <v>40602</v>
      </c>
      <c r="AI6" s="447">
        <f t="shared" si="2"/>
        <v>40633</v>
      </c>
      <c r="AJ6" s="447">
        <f t="shared" si="2"/>
        <v>40663</v>
      </c>
      <c r="AK6" s="447">
        <f t="shared" si="2"/>
        <v>40678</v>
      </c>
      <c r="AL6" s="447">
        <f t="shared" si="2"/>
        <v>40694</v>
      </c>
      <c r="AM6" s="447">
        <f t="shared" si="2"/>
        <v>40709</v>
      </c>
      <c r="AN6" s="448" t="s">
        <v>130</v>
      </c>
      <c r="AO6" s="446"/>
      <c r="AP6" s="447">
        <f t="shared" ref="AP6:BE6" si="3">+X6</f>
        <v>40359</v>
      </c>
      <c r="AQ6" s="447">
        <f t="shared" si="3"/>
        <v>40374</v>
      </c>
      <c r="AR6" s="447">
        <f t="shared" si="3"/>
        <v>40390</v>
      </c>
      <c r="AS6" s="447">
        <f t="shared" si="3"/>
        <v>40405</v>
      </c>
      <c r="AT6" s="447">
        <f t="shared" si="3"/>
        <v>40421</v>
      </c>
      <c r="AU6" s="447">
        <f t="shared" si="3"/>
        <v>40451</v>
      </c>
      <c r="AV6" s="447">
        <f t="shared" si="3"/>
        <v>40482</v>
      </c>
      <c r="AW6" s="447">
        <f t="shared" si="3"/>
        <v>40512</v>
      </c>
      <c r="AX6" s="447">
        <f t="shared" si="3"/>
        <v>40543</v>
      </c>
      <c r="AY6" s="447">
        <f t="shared" si="3"/>
        <v>40574</v>
      </c>
      <c r="AZ6" s="447">
        <f t="shared" si="3"/>
        <v>40602</v>
      </c>
      <c r="BA6" s="447">
        <f t="shared" si="3"/>
        <v>40633</v>
      </c>
      <c r="BB6" s="447">
        <f t="shared" si="3"/>
        <v>40663</v>
      </c>
      <c r="BC6" s="447">
        <f t="shared" si="3"/>
        <v>40678</v>
      </c>
      <c r="BD6" s="447">
        <f t="shared" si="3"/>
        <v>40694</v>
      </c>
      <c r="BE6" s="447">
        <f t="shared" si="3"/>
        <v>40709</v>
      </c>
      <c r="BG6" s="445" t="s">
        <v>131</v>
      </c>
      <c r="BH6" s="449"/>
      <c r="BI6" s="447">
        <v>35064</v>
      </c>
      <c r="BJ6" s="447">
        <v>35095</v>
      </c>
      <c r="BK6" s="447">
        <v>35124</v>
      </c>
      <c r="BL6" s="447">
        <v>35155</v>
      </c>
      <c r="BM6" s="447">
        <v>35185</v>
      </c>
      <c r="BN6" s="447">
        <v>35200</v>
      </c>
      <c r="BO6" s="447">
        <v>35216</v>
      </c>
      <c r="BP6" s="447">
        <v>35231</v>
      </c>
      <c r="BQ6" s="447">
        <v>35246</v>
      </c>
      <c r="BR6" s="447">
        <v>35261</v>
      </c>
      <c r="BS6" s="447">
        <v>35277</v>
      </c>
      <c r="BT6" s="447">
        <v>35292</v>
      </c>
      <c r="BU6" s="447">
        <v>35308</v>
      </c>
      <c r="BV6" s="447">
        <v>35338</v>
      </c>
      <c r="BW6" s="447">
        <v>35369</v>
      </c>
      <c r="BX6" s="447">
        <v>35399</v>
      </c>
    </row>
    <row r="7" spans="1:76">
      <c r="A7" s="450" t="s">
        <v>133</v>
      </c>
      <c r="B7" s="424">
        <v>12</v>
      </c>
      <c r="C7" s="424">
        <f t="shared" ref="C7:R7" si="4">ROUND((($U$1*X$7)+($V$1*X$17)+($U$1*AP$7)+($V$1*AP$17)+($W$1*(3-(AP$7+AP$17)))+($W$1*(9-(X$7+X$17))))*$AO$5,0)</f>
        <v>18930</v>
      </c>
      <c r="D7" s="424">
        <f t="shared" si="4"/>
        <v>18962</v>
      </c>
      <c r="E7" s="424">
        <f t="shared" si="4"/>
        <v>18993</v>
      </c>
      <c r="F7" s="424">
        <f t="shared" si="4"/>
        <v>19025</v>
      </c>
      <c r="G7" s="424">
        <f t="shared" si="4"/>
        <v>19056</v>
      </c>
      <c r="H7" s="424">
        <f t="shared" si="4"/>
        <v>19119</v>
      </c>
      <c r="I7" s="424">
        <f t="shared" si="4"/>
        <v>19182</v>
      </c>
      <c r="J7" s="424">
        <f t="shared" si="4"/>
        <v>19245</v>
      </c>
      <c r="K7" s="424">
        <f t="shared" si="4"/>
        <v>19308</v>
      </c>
      <c r="L7" s="424">
        <f t="shared" si="4"/>
        <v>19371</v>
      </c>
      <c r="M7" s="424">
        <f t="shared" si="4"/>
        <v>19434</v>
      </c>
      <c r="N7" s="424">
        <f t="shared" si="4"/>
        <v>19497</v>
      </c>
      <c r="O7" s="424">
        <f t="shared" si="4"/>
        <v>19560</v>
      </c>
      <c r="P7" s="424">
        <f t="shared" si="4"/>
        <v>19592</v>
      </c>
      <c r="Q7" s="424">
        <f t="shared" si="4"/>
        <v>19623</v>
      </c>
      <c r="R7" s="424">
        <f t="shared" si="4"/>
        <v>19655</v>
      </c>
      <c r="V7" s="424" t="s">
        <v>86</v>
      </c>
      <c r="W7" s="424" t="s">
        <v>134</v>
      </c>
      <c r="X7" s="424">
        <v>9</v>
      </c>
      <c r="Y7" s="424">
        <v>9</v>
      </c>
      <c r="Z7" s="424">
        <v>9</v>
      </c>
      <c r="AA7" s="424">
        <v>9</v>
      </c>
      <c r="AB7" s="424">
        <v>8.5</v>
      </c>
      <c r="AC7" s="424">
        <v>7.5</v>
      </c>
      <c r="AD7" s="424">
        <v>6.5</v>
      </c>
      <c r="AE7" s="424">
        <v>5.5</v>
      </c>
      <c r="AF7" s="424">
        <v>4.5</v>
      </c>
      <c r="AG7" s="424">
        <v>3.5</v>
      </c>
      <c r="AH7" s="424">
        <v>2.5</v>
      </c>
      <c r="AI7" s="424">
        <v>1.5</v>
      </c>
      <c r="AJ7" s="424">
        <v>0.5</v>
      </c>
      <c r="AK7" s="424">
        <v>0</v>
      </c>
      <c r="AL7" s="424">
        <v>0</v>
      </c>
      <c r="AM7" s="424">
        <v>0</v>
      </c>
      <c r="AN7" s="424" t="s">
        <v>86</v>
      </c>
      <c r="AO7" s="424" t="s">
        <v>135</v>
      </c>
      <c r="AP7" s="424">
        <v>3</v>
      </c>
      <c r="AQ7" s="424">
        <v>2.5</v>
      </c>
      <c r="AR7" s="424">
        <v>2</v>
      </c>
      <c r="AS7" s="424">
        <v>1.5</v>
      </c>
      <c r="AT7" s="424">
        <v>1.5</v>
      </c>
      <c r="AU7" s="424">
        <v>1.5</v>
      </c>
      <c r="AV7" s="424">
        <v>1.5</v>
      </c>
      <c r="AW7" s="424">
        <v>1.5</v>
      </c>
      <c r="AX7" s="424">
        <v>1.5</v>
      </c>
      <c r="AY7" s="424">
        <v>1.5</v>
      </c>
      <c r="AZ7" s="424">
        <v>1.5</v>
      </c>
      <c r="BA7" s="424">
        <v>1.5</v>
      </c>
      <c r="BB7" s="424">
        <v>1.5</v>
      </c>
      <c r="BC7" s="424">
        <v>1.5</v>
      </c>
      <c r="BD7" s="424">
        <v>1</v>
      </c>
      <c r="BE7" s="424">
        <v>0.5</v>
      </c>
      <c r="BG7" s="424" t="s">
        <v>86</v>
      </c>
      <c r="BH7" s="424" t="s">
        <v>136</v>
      </c>
      <c r="BI7" s="424">
        <f t="shared" ref="BI7:BX7" si="5">9-(X7+X17)</f>
        <v>0</v>
      </c>
      <c r="BJ7" s="424">
        <f t="shared" si="5"/>
        <v>0</v>
      </c>
      <c r="BK7" s="424">
        <f t="shared" si="5"/>
        <v>0</v>
      </c>
      <c r="BL7" s="424">
        <f t="shared" si="5"/>
        <v>0</v>
      </c>
      <c r="BM7" s="424">
        <f t="shared" si="5"/>
        <v>0</v>
      </c>
      <c r="BN7" s="424">
        <f t="shared" si="5"/>
        <v>0</v>
      </c>
      <c r="BO7" s="424">
        <f t="shared" si="5"/>
        <v>0</v>
      </c>
      <c r="BP7" s="424">
        <f t="shared" si="5"/>
        <v>0</v>
      </c>
      <c r="BQ7" s="424">
        <f t="shared" si="5"/>
        <v>0</v>
      </c>
      <c r="BR7" s="424">
        <f t="shared" si="5"/>
        <v>0</v>
      </c>
      <c r="BS7" s="424">
        <f t="shared" si="5"/>
        <v>0</v>
      </c>
      <c r="BT7" s="424">
        <f t="shared" si="5"/>
        <v>0</v>
      </c>
      <c r="BU7" s="424">
        <f t="shared" si="5"/>
        <v>0</v>
      </c>
      <c r="BV7" s="424">
        <f t="shared" si="5"/>
        <v>0</v>
      </c>
      <c r="BW7" s="424">
        <f t="shared" si="5"/>
        <v>0</v>
      </c>
      <c r="BX7" s="424">
        <f t="shared" si="5"/>
        <v>0</v>
      </c>
    </row>
    <row r="8" spans="1:76">
      <c r="A8" s="450" t="s">
        <v>137</v>
      </c>
      <c r="B8" s="424">
        <v>11</v>
      </c>
      <c r="C8" s="424">
        <f t="shared" ref="C8:R8" si="6">ROUND((($U$1*X$8)+($V$1*X$18)+($U$1*AP$8)+($V$1*AP$18)+($W$1*(2-(AP$8+AP$18)))+($W$1*(9-(X$8+X$18))))*$AO$5,0)</f>
        <v>17353</v>
      </c>
      <c r="D8" s="424">
        <f t="shared" si="6"/>
        <v>17353</v>
      </c>
      <c r="E8" s="424">
        <f t="shared" si="6"/>
        <v>17353</v>
      </c>
      <c r="F8" s="424">
        <f t="shared" si="6"/>
        <v>17384</v>
      </c>
      <c r="G8" s="424">
        <f t="shared" si="6"/>
        <v>17416</v>
      </c>
      <c r="H8" s="424">
        <f t="shared" si="6"/>
        <v>17479</v>
      </c>
      <c r="I8" s="424">
        <f t="shared" si="6"/>
        <v>17542</v>
      </c>
      <c r="J8" s="424">
        <f t="shared" si="6"/>
        <v>17605</v>
      </c>
      <c r="K8" s="424">
        <f t="shared" si="6"/>
        <v>17668</v>
      </c>
      <c r="L8" s="424">
        <f t="shared" si="6"/>
        <v>17731</v>
      </c>
      <c r="M8" s="424">
        <f t="shared" si="6"/>
        <v>17794</v>
      </c>
      <c r="N8" s="424">
        <f t="shared" si="6"/>
        <v>17857</v>
      </c>
      <c r="O8" s="424">
        <f t="shared" si="6"/>
        <v>17920</v>
      </c>
      <c r="P8" s="424">
        <f t="shared" si="6"/>
        <v>17951</v>
      </c>
      <c r="Q8" s="424">
        <f t="shared" si="6"/>
        <v>17983</v>
      </c>
      <c r="R8" s="424">
        <f t="shared" si="6"/>
        <v>18014</v>
      </c>
      <c r="V8" s="424" t="s">
        <v>138</v>
      </c>
      <c r="W8" s="424" t="s">
        <v>139</v>
      </c>
      <c r="X8" s="424">
        <v>9</v>
      </c>
      <c r="Y8" s="424">
        <v>9</v>
      </c>
      <c r="Z8" s="424">
        <v>9</v>
      </c>
      <c r="AA8" s="424">
        <v>9</v>
      </c>
      <c r="AB8" s="424">
        <v>8.5</v>
      </c>
      <c r="AC8" s="424">
        <v>7.5</v>
      </c>
      <c r="AD8" s="424">
        <v>6.5</v>
      </c>
      <c r="AE8" s="424">
        <v>5.5</v>
      </c>
      <c r="AF8" s="424">
        <v>4.5</v>
      </c>
      <c r="AG8" s="424">
        <v>3.5</v>
      </c>
      <c r="AH8" s="424">
        <v>2.5</v>
      </c>
      <c r="AI8" s="424">
        <v>1.5</v>
      </c>
      <c r="AJ8" s="424">
        <v>0.5</v>
      </c>
      <c r="AK8" s="424">
        <v>0</v>
      </c>
      <c r="AL8" s="424">
        <v>0</v>
      </c>
      <c r="AM8" s="424">
        <v>0</v>
      </c>
      <c r="AN8" s="424" t="s">
        <v>138</v>
      </c>
      <c r="AO8" s="424" t="s">
        <v>135</v>
      </c>
      <c r="AP8" s="424">
        <v>2</v>
      </c>
      <c r="AQ8" s="424">
        <v>2</v>
      </c>
      <c r="AR8" s="424">
        <v>2</v>
      </c>
      <c r="AS8" s="424">
        <v>1.5</v>
      </c>
      <c r="AT8" s="424">
        <v>1.5</v>
      </c>
      <c r="AU8" s="424">
        <v>1.5</v>
      </c>
      <c r="AV8" s="424">
        <v>1.5</v>
      </c>
      <c r="AW8" s="424">
        <v>1.5</v>
      </c>
      <c r="AX8" s="424">
        <v>1.5</v>
      </c>
      <c r="AY8" s="424">
        <v>1.5</v>
      </c>
      <c r="AZ8" s="424">
        <v>1.5</v>
      </c>
      <c r="BA8" s="424">
        <v>1.5</v>
      </c>
      <c r="BB8" s="424">
        <v>1.5</v>
      </c>
      <c r="BC8" s="424">
        <v>1.5</v>
      </c>
      <c r="BD8" s="424">
        <v>1</v>
      </c>
      <c r="BE8" s="424">
        <v>0.5</v>
      </c>
      <c r="BG8" s="424" t="s">
        <v>138</v>
      </c>
      <c r="BH8" s="424" t="s">
        <v>140</v>
      </c>
      <c r="BI8" s="424">
        <v>9</v>
      </c>
      <c r="BJ8" s="424">
        <v>8</v>
      </c>
      <c r="BK8" s="424">
        <v>7</v>
      </c>
      <c r="BL8" s="424">
        <v>6</v>
      </c>
      <c r="BM8" s="424">
        <v>5</v>
      </c>
      <c r="BN8" s="424">
        <v>4.5</v>
      </c>
      <c r="BO8" s="424">
        <v>4.5</v>
      </c>
      <c r="BP8" s="424">
        <v>4.5</v>
      </c>
      <c r="BQ8" s="424">
        <v>4.5</v>
      </c>
      <c r="BR8" s="424">
        <v>4.5</v>
      </c>
      <c r="BS8" s="424">
        <v>4.5</v>
      </c>
      <c r="BT8" s="424">
        <v>4.5</v>
      </c>
      <c r="BU8" s="424">
        <v>4</v>
      </c>
      <c r="BV8" s="424">
        <v>3</v>
      </c>
      <c r="BW8" s="424">
        <v>2</v>
      </c>
      <c r="BX8" s="424">
        <v>1</v>
      </c>
    </row>
    <row r="9" spans="1:76">
      <c r="A9" s="450" t="s">
        <v>141</v>
      </c>
      <c r="B9" s="424">
        <v>10</v>
      </c>
      <c r="C9" s="424">
        <f>ROUND((($U$1*X$9)+($V$1*X$19)+($U$1*AP$9)+($V$1*AP$19)+($W$1*(1-(AP$9+AP$19)))+($W$1*(9-(X$9+X$19))))*$AO$5,0)</f>
        <v>15775</v>
      </c>
      <c r="D9" s="424">
        <f t="shared" ref="D9:R9" si="7">ROUND((($U$1*Y9)+($V$1*Y19)+($U$1*AQ9)+($V$1*AQ19)+($W$1*(1-(AQ9+AQ19)))+($W$1*(9-(Y9+Y19))))*$AO$5,0)</f>
        <v>15775</v>
      </c>
      <c r="E9" s="424">
        <f t="shared" si="7"/>
        <v>15775</v>
      </c>
      <c r="F9" s="424">
        <f t="shared" si="7"/>
        <v>15775</v>
      </c>
      <c r="G9" s="424">
        <f t="shared" si="7"/>
        <v>15807</v>
      </c>
      <c r="H9" s="424">
        <f t="shared" si="7"/>
        <v>15870</v>
      </c>
      <c r="I9" s="424">
        <f t="shared" si="7"/>
        <v>15933</v>
      </c>
      <c r="J9" s="424">
        <f t="shared" si="7"/>
        <v>15996</v>
      </c>
      <c r="K9" s="424">
        <f t="shared" si="7"/>
        <v>16059</v>
      </c>
      <c r="L9" s="424">
        <f t="shared" si="7"/>
        <v>16122</v>
      </c>
      <c r="M9" s="424">
        <f t="shared" si="7"/>
        <v>16185</v>
      </c>
      <c r="N9" s="424">
        <f t="shared" si="7"/>
        <v>16248</v>
      </c>
      <c r="O9" s="424">
        <f t="shared" si="7"/>
        <v>16311</v>
      </c>
      <c r="P9" s="424">
        <f t="shared" si="7"/>
        <v>16342</v>
      </c>
      <c r="Q9" s="424">
        <f t="shared" si="7"/>
        <v>16342</v>
      </c>
      <c r="R9" s="424">
        <f t="shared" si="7"/>
        <v>16374</v>
      </c>
      <c r="V9" s="424" t="s">
        <v>85</v>
      </c>
      <c r="W9" s="424" t="s">
        <v>139</v>
      </c>
      <c r="X9" s="424">
        <v>9</v>
      </c>
      <c r="Y9" s="424">
        <v>9</v>
      </c>
      <c r="Z9" s="424">
        <v>9</v>
      </c>
      <c r="AA9" s="424">
        <v>9</v>
      </c>
      <c r="AB9" s="424">
        <v>8.5</v>
      </c>
      <c r="AC9" s="424">
        <v>7.5</v>
      </c>
      <c r="AD9" s="424">
        <v>6.5</v>
      </c>
      <c r="AE9" s="424">
        <v>5.5</v>
      </c>
      <c r="AF9" s="424">
        <v>4.5</v>
      </c>
      <c r="AG9" s="424">
        <v>3.5</v>
      </c>
      <c r="AH9" s="424">
        <v>2.5</v>
      </c>
      <c r="AI9" s="424">
        <v>1.5</v>
      </c>
      <c r="AJ9" s="424">
        <v>0.5</v>
      </c>
      <c r="AK9" s="424">
        <v>0</v>
      </c>
      <c r="AL9" s="424">
        <v>0</v>
      </c>
      <c r="AM9" s="424">
        <v>0</v>
      </c>
      <c r="AN9" s="424" t="s">
        <v>85</v>
      </c>
      <c r="AO9" s="424" t="s">
        <v>135</v>
      </c>
      <c r="AP9" s="424">
        <v>1</v>
      </c>
      <c r="AQ9" s="424">
        <v>1</v>
      </c>
      <c r="AR9" s="424">
        <v>1</v>
      </c>
      <c r="AS9" s="424">
        <v>1</v>
      </c>
      <c r="AT9" s="424">
        <v>1</v>
      </c>
      <c r="AU9" s="424">
        <v>1</v>
      </c>
      <c r="AV9" s="424">
        <v>1</v>
      </c>
      <c r="AW9" s="424">
        <v>1</v>
      </c>
      <c r="AX9" s="424">
        <v>1</v>
      </c>
      <c r="AY9" s="424">
        <v>1</v>
      </c>
      <c r="AZ9" s="424">
        <v>1</v>
      </c>
      <c r="BA9" s="424">
        <v>1</v>
      </c>
      <c r="BB9" s="424">
        <v>1</v>
      </c>
      <c r="BC9" s="424">
        <v>1</v>
      </c>
      <c r="BD9" s="424">
        <v>1</v>
      </c>
      <c r="BE9" s="424">
        <v>0.5</v>
      </c>
      <c r="BG9" s="424" t="s">
        <v>85</v>
      </c>
      <c r="BH9" s="424" t="s">
        <v>140</v>
      </c>
      <c r="BI9" s="424">
        <v>9</v>
      </c>
      <c r="BJ9" s="424">
        <v>8</v>
      </c>
      <c r="BK9" s="424">
        <v>7</v>
      </c>
      <c r="BL9" s="424">
        <v>6</v>
      </c>
      <c r="BM9" s="424">
        <v>5</v>
      </c>
      <c r="BN9" s="424">
        <v>4.5</v>
      </c>
      <c r="BO9" s="424">
        <v>4.5</v>
      </c>
      <c r="BP9" s="424">
        <v>4.5</v>
      </c>
      <c r="BQ9" s="424">
        <v>4.5</v>
      </c>
      <c r="BR9" s="424">
        <v>4.5</v>
      </c>
      <c r="BS9" s="424">
        <v>4.5</v>
      </c>
      <c r="BT9" s="424">
        <v>4.5</v>
      </c>
      <c r="BU9" s="424">
        <v>4</v>
      </c>
      <c r="BV9" s="424">
        <v>3</v>
      </c>
      <c r="BW9" s="424">
        <v>2</v>
      </c>
      <c r="BX9" s="424">
        <v>1</v>
      </c>
    </row>
    <row r="10" spans="1:76">
      <c r="A10" s="450" t="s">
        <v>142</v>
      </c>
      <c r="B10" s="424">
        <v>9</v>
      </c>
      <c r="C10" s="424">
        <f>ROUND((($U$1*X$10)+($V$1*X$20)+($U$1*AP$10)+($V$1*AP$20)+($W$1*(0-(AP$10+AP$20)))+($W$1*(9-(X$10+X$20))))*$AO$5,0)</f>
        <v>14198</v>
      </c>
      <c r="D10" s="424">
        <f t="shared" ref="D10:R10" si="8">ROUND((($U$1*Y10)+($V$1*Y20)+($U$1*AQ10)+($V$1*AQ20)+($W$1*(0-(AQ10+AQ20)))+($W$1*(9-(Y10+Y20))))*$AO$5,0)</f>
        <v>14198</v>
      </c>
      <c r="E10" s="424">
        <f t="shared" si="8"/>
        <v>14198</v>
      </c>
      <c r="F10" s="424">
        <f t="shared" si="8"/>
        <v>14198</v>
      </c>
      <c r="G10" s="424">
        <f t="shared" si="8"/>
        <v>14229</v>
      </c>
      <c r="H10" s="424">
        <f t="shared" si="8"/>
        <v>14292</v>
      </c>
      <c r="I10" s="424">
        <f t="shared" si="8"/>
        <v>14355</v>
      </c>
      <c r="J10" s="424">
        <f t="shared" si="8"/>
        <v>14418</v>
      </c>
      <c r="K10" s="424">
        <f t="shared" si="8"/>
        <v>14481</v>
      </c>
      <c r="L10" s="424">
        <f t="shared" si="8"/>
        <v>14544</v>
      </c>
      <c r="M10" s="424">
        <f t="shared" si="8"/>
        <v>14607</v>
      </c>
      <c r="N10" s="424">
        <f t="shared" si="8"/>
        <v>14670</v>
      </c>
      <c r="O10" s="424">
        <f t="shared" si="8"/>
        <v>14733</v>
      </c>
      <c r="P10" s="424">
        <f t="shared" si="8"/>
        <v>14765</v>
      </c>
      <c r="Q10" s="424">
        <f t="shared" si="8"/>
        <v>14765</v>
      </c>
      <c r="R10" s="424">
        <f t="shared" si="8"/>
        <v>14765</v>
      </c>
      <c r="V10" s="424" t="s">
        <v>84</v>
      </c>
      <c r="W10" s="424" t="s">
        <v>139</v>
      </c>
      <c r="X10" s="424">
        <v>9</v>
      </c>
      <c r="Y10" s="424">
        <v>9</v>
      </c>
      <c r="Z10" s="424">
        <v>9</v>
      </c>
      <c r="AA10" s="424">
        <v>9</v>
      </c>
      <c r="AB10" s="424">
        <v>8.5</v>
      </c>
      <c r="AC10" s="424">
        <v>7.5</v>
      </c>
      <c r="AD10" s="424">
        <v>6.5</v>
      </c>
      <c r="AE10" s="424">
        <v>5.5</v>
      </c>
      <c r="AF10" s="424">
        <v>4.5</v>
      </c>
      <c r="AG10" s="424">
        <v>3.5</v>
      </c>
      <c r="AH10" s="424">
        <v>2.5</v>
      </c>
      <c r="AI10" s="424">
        <v>1.5</v>
      </c>
      <c r="AJ10" s="424">
        <v>0.5</v>
      </c>
      <c r="AK10" s="424">
        <v>0</v>
      </c>
      <c r="AL10" s="424">
        <v>0</v>
      </c>
      <c r="AM10" s="424">
        <v>0</v>
      </c>
      <c r="AN10" s="424" t="s">
        <v>84</v>
      </c>
      <c r="AO10" s="424" t="s">
        <v>135</v>
      </c>
      <c r="AP10" s="424">
        <v>0</v>
      </c>
      <c r="AQ10" s="424">
        <v>0</v>
      </c>
      <c r="AR10" s="424">
        <v>0</v>
      </c>
      <c r="AS10" s="424">
        <v>0</v>
      </c>
      <c r="AT10" s="424">
        <v>0</v>
      </c>
      <c r="AU10" s="424">
        <v>0</v>
      </c>
      <c r="AV10" s="424">
        <v>0</v>
      </c>
      <c r="AW10" s="424">
        <v>0</v>
      </c>
      <c r="AX10" s="424">
        <v>0</v>
      </c>
      <c r="AY10" s="424">
        <v>0</v>
      </c>
      <c r="AZ10" s="424">
        <v>0</v>
      </c>
      <c r="BA10" s="424">
        <v>0</v>
      </c>
      <c r="BB10" s="424">
        <v>0</v>
      </c>
      <c r="BC10" s="424">
        <v>0</v>
      </c>
      <c r="BD10" s="424">
        <v>0</v>
      </c>
      <c r="BE10" s="424">
        <v>0</v>
      </c>
      <c r="BG10" s="424" t="s">
        <v>84</v>
      </c>
      <c r="BH10" s="424" t="s">
        <v>140</v>
      </c>
      <c r="BI10" s="424">
        <v>9</v>
      </c>
      <c r="BJ10" s="424">
        <v>8</v>
      </c>
      <c r="BK10" s="424">
        <v>7</v>
      </c>
      <c r="BL10" s="424">
        <v>6</v>
      </c>
      <c r="BM10" s="424">
        <v>5</v>
      </c>
      <c r="BN10" s="424">
        <v>4.5</v>
      </c>
      <c r="BO10" s="424">
        <v>4.5</v>
      </c>
      <c r="BP10" s="424">
        <v>4.5</v>
      </c>
      <c r="BQ10" s="424">
        <v>4.5</v>
      </c>
      <c r="BR10" s="424">
        <v>4.5</v>
      </c>
      <c r="BS10" s="424">
        <v>4.5</v>
      </c>
      <c r="BT10" s="424">
        <v>4.5</v>
      </c>
      <c r="BU10" s="424">
        <v>4</v>
      </c>
      <c r="BV10" s="424">
        <v>3</v>
      </c>
      <c r="BW10" s="424">
        <v>2</v>
      </c>
      <c r="BX10" s="424">
        <v>1</v>
      </c>
    </row>
    <row r="11" spans="1:76">
      <c r="A11" s="450" t="s">
        <v>143</v>
      </c>
      <c r="B11" s="424">
        <v>3</v>
      </c>
      <c r="C11" s="424">
        <f>ROUND((($U$1*X$11)+($V$1*X$21)+($U$1*AP$11)+($V$1*AP$21)+($W$1*(3-(AP$11+AP$21)))+($W$1*(0-(X$11+X$21))))*$AO$5,0)</f>
        <v>4733</v>
      </c>
      <c r="D11" s="424">
        <f t="shared" ref="D11:R11" si="9">ROUND((($U$1*Y11)+($V$1*Y21)+($U$1*AQ11)+($V$1*AQ21)+($W$1*(3-(AQ11+AQ21)))+($W$1*(0-(Y11+Y21))))*$AO$5,0)</f>
        <v>4764</v>
      </c>
      <c r="E11" s="424">
        <f t="shared" si="9"/>
        <v>4796</v>
      </c>
      <c r="F11" s="424">
        <f t="shared" si="9"/>
        <v>4827</v>
      </c>
      <c r="G11" s="424">
        <f t="shared" si="9"/>
        <v>4827</v>
      </c>
      <c r="H11" s="424">
        <f t="shared" si="9"/>
        <v>4827</v>
      </c>
      <c r="I11" s="424">
        <f t="shared" si="9"/>
        <v>4827</v>
      </c>
      <c r="J11" s="424">
        <f t="shared" si="9"/>
        <v>4827</v>
      </c>
      <c r="K11" s="424">
        <f t="shared" si="9"/>
        <v>4827</v>
      </c>
      <c r="L11" s="424">
        <f t="shared" si="9"/>
        <v>4827</v>
      </c>
      <c r="M11" s="424">
        <f t="shared" si="9"/>
        <v>4827</v>
      </c>
      <c r="N11" s="424">
        <f t="shared" si="9"/>
        <v>4827</v>
      </c>
      <c r="O11" s="424">
        <f t="shared" si="9"/>
        <v>4827</v>
      </c>
      <c r="P11" s="424">
        <f t="shared" si="9"/>
        <v>4827</v>
      </c>
      <c r="Q11" s="424">
        <f t="shared" si="9"/>
        <v>4859</v>
      </c>
      <c r="R11" s="424">
        <f t="shared" si="9"/>
        <v>4890</v>
      </c>
      <c r="V11" s="424" t="s">
        <v>81</v>
      </c>
      <c r="W11" s="424" t="s">
        <v>135</v>
      </c>
      <c r="X11" s="424">
        <v>0</v>
      </c>
      <c r="Y11" s="424">
        <v>0</v>
      </c>
      <c r="Z11" s="424">
        <v>0</v>
      </c>
      <c r="AA11" s="424">
        <v>0</v>
      </c>
      <c r="AB11" s="424">
        <v>0</v>
      </c>
      <c r="AC11" s="424">
        <v>0</v>
      </c>
      <c r="AD11" s="424">
        <v>0</v>
      </c>
      <c r="AE11" s="424">
        <v>0</v>
      </c>
      <c r="AF11" s="424">
        <v>0</v>
      </c>
      <c r="AG11" s="424">
        <v>0</v>
      </c>
      <c r="AH11" s="424">
        <v>0</v>
      </c>
      <c r="AI11" s="424">
        <v>0</v>
      </c>
      <c r="AJ11" s="424">
        <v>0</v>
      </c>
      <c r="AK11" s="424">
        <v>0</v>
      </c>
      <c r="AL11" s="424">
        <v>0</v>
      </c>
      <c r="AM11" s="424">
        <v>0</v>
      </c>
      <c r="AN11" s="424" t="s">
        <v>81</v>
      </c>
      <c r="AO11" s="424" t="s">
        <v>135</v>
      </c>
      <c r="AP11" s="424">
        <v>3</v>
      </c>
      <c r="AQ11" s="424">
        <v>2.5</v>
      </c>
      <c r="AR11" s="424">
        <v>2</v>
      </c>
      <c r="AS11" s="424">
        <v>1.5</v>
      </c>
      <c r="AT11" s="424">
        <v>1.5</v>
      </c>
      <c r="AU11" s="424">
        <v>1.5</v>
      </c>
      <c r="AV11" s="424">
        <v>1.5</v>
      </c>
      <c r="AW11" s="424">
        <v>1.5</v>
      </c>
      <c r="AX11" s="424">
        <v>1.5</v>
      </c>
      <c r="AY11" s="424">
        <v>1.5</v>
      </c>
      <c r="AZ11" s="424">
        <v>1.5</v>
      </c>
      <c r="BA11" s="424">
        <v>1.5</v>
      </c>
      <c r="BB11" s="424">
        <v>1.5</v>
      </c>
      <c r="BC11" s="424">
        <v>1.5</v>
      </c>
      <c r="BD11" s="424">
        <v>1</v>
      </c>
      <c r="BE11" s="424">
        <v>0.5</v>
      </c>
      <c r="BG11" s="424" t="s">
        <v>81</v>
      </c>
      <c r="BH11" s="424" t="s">
        <v>144</v>
      </c>
      <c r="BI11" s="424">
        <v>0</v>
      </c>
      <c r="BJ11" s="424">
        <v>0</v>
      </c>
      <c r="BK11" s="424">
        <v>0</v>
      </c>
      <c r="BL11" s="424">
        <v>0</v>
      </c>
      <c r="BM11" s="424">
        <v>0</v>
      </c>
      <c r="BN11" s="424">
        <v>0</v>
      </c>
      <c r="BO11" s="424">
        <v>0</v>
      </c>
      <c r="BP11" s="424">
        <v>0</v>
      </c>
      <c r="BQ11" s="424">
        <v>0</v>
      </c>
      <c r="BR11" s="424">
        <v>0</v>
      </c>
      <c r="BS11" s="424">
        <v>0</v>
      </c>
      <c r="BT11" s="424">
        <v>0</v>
      </c>
      <c r="BU11" s="424">
        <v>0</v>
      </c>
      <c r="BV11" s="424">
        <v>0</v>
      </c>
      <c r="BW11" s="424">
        <v>0</v>
      </c>
      <c r="BX11" s="424">
        <v>0</v>
      </c>
    </row>
    <row r="12" spans="1:76">
      <c r="A12" s="450" t="s">
        <v>145</v>
      </c>
      <c r="B12" s="424">
        <v>2</v>
      </c>
      <c r="C12" s="424">
        <f>ROUND((($U$1*X$12)+($V$1*X$22)+($U$1*AP$12)+($V$1*AP$22)+($W$1*(2-(AP$12+AP$22)))+($W$1*(0-(X$12+X$22))))*$AO$5,0)</f>
        <v>3155</v>
      </c>
      <c r="D12" s="424">
        <f t="shared" ref="D12:R12" si="10">ROUND((($U$1*Y12)+($V$1*Y22)+($U$1*AQ12)+($V$1*AQ22)+($W$1*(2-(AQ12+AQ22)))+($W$1*(0-(Y12+Y22))))*$AO$5,0)</f>
        <v>3155</v>
      </c>
      <c r="E12" s="424">
        <f t="shared" si="10"/>
        <v>3155</v>
      </c>
      <c r="F12" s="424">
        <f t="shared" si="10"/>
        <v>3187</v>
      </c>
      <c r="G12" s="424">
        <f t="shared" si="10"/>
        <v>3187</v>
      </c>
      <c r="H12" s="424">
        <f t="shared" si="10"/>
        <v>3187</v>
      </c>
      <c r="I12" s="424">
        <f t="shared" si="10"/>
        <v>3187</v>
      </c>
      <c r="J12" s="424">
        <f t="shared" si="10"/>
        <v>3187</v>
      </c>
      <c r="K12" s="424">
        <f t="shared" si="10"/>
        <v>3187</v>
      </c>
      <c r="L12" s="424">
        <f t="shared" si="10"/>
        <v>3187</v>
      </c>
      <c r="M12" s="424">
        <f t="shared" si="10"/>
        <v>3187</v>
      </c>
      <c r="N12" s="424">
        <f t="shared" si="10"/>
        <v>3187</v>
      </c>
      <c r="O12" s="424">
        <f t="shared" si="10"/>
        <v>3187</v>
      </c>
      <c r="P12" s="424">
        <f t="shared" si="10"/>
        <v>3187</v>
      </c>
      <c r="Q12" s="424">
        <f t="shared" si="10"/>
        <v>3218</v>
      </c>
      <c r="R12" s="424">
        <f t="shared" si="10"/>
        <v>3250</v>
      </c>
      <c r="V12" s="424" t="s">
        <v>146</v>
      </c>
      <c r="W12" s="424" t="s">
        <v>135</v>
      </c>
      <c r="X12" s="424">
        <v>0</v>
      </c>
      <c r="Y12" s="424">
        <v>0</v>
      </c>
      <c r="Z12" s="424">
        <v>0</v>
      </c>
      <c r="AA12" s="424">
        <v>0</v>
      </c>
      <c r="AB12" s="424">
        <v>0</v>
      </c>
      <c r="AC12" s="424">
        <v>0</v>
      </c>
      <c r="AD12" s="424">
        <v>0</v>
      </c>
      <c r="AE12" s="424">
        <v>0</v>
      </c>
      <c r="AF12" s="424">
        <v>0</v>
      </c>
      <c r="AG12" s="424">
        <v>0</v>
      </c>
      <c r="AH12" s="424">
        <v>0</v>
      </c>
      <c r="AI12" s="424">
        <v>0</v>
      </c>
      <c r="AJ12" s="424">
        <v>0</v>
      </c>
      <c r="AK12" s="424">
        <v>0</v>
      </c>
      <c r="AL12" s="424">
        <v>0</v>
      </c>
      <c r="AM12" s="424">
        <v>0</v>
      </c>
      <c r="AN12" s="424" t="s">
        <v>146</v>
      </c>
      <c r="AO12" s="424" t="s">
        <v>135</v>
      </c>
      <c r="AP12" s="424">
        <v>2</v>
      </c>
      <c r="AQ12" s="424">
        <v>2</v>
      </c>
      <c r="AR12" s="424">
        <v>2</v>
      </c>
      <c r="AS12" s="424">
        <v>1.5</v>
      </c>
      <c r="AT12" s="424">
        <v>1.5</v>
      </c>
      <c r="AU12" s="424">
        <v>1.5</v>
      </c>
      <c r="AV12" s="424">
        <v>1.5</v>
      </c>
      <c r="AW12" s="424">
        <v>1.5</v>
      </c>
      <c r="AX12" s="424">
        <v>1.5</v>
      </c>
      <c r="AY12" s="424">
        <v>1.5</v>
      </c>
      <c r="AZ12" s="424">
        <v>1.5</v>
      </c>
      <c r="BA12" s="424">
        <v>1.5</v>
      </c>
      <c r="BB12" s="424">
        <v>1.5</v>
      </c>
      <c r="BC12" s="424">
        <v>1.5</v>
      </c>
      <c r="BD12" s="424">
        <v>1</v>
      </c>
      <c r="BE12" s="424">
        <v>0.5</v>
      </c>
      <c r="BG12" s="424" t="s">
        <v>146</v>
      </c>
      <c r="BH12" s="424" t="s">
        <v>144</v>
      </c>
      <c r="BI12" s="424">
        <v>0</v>
      </c>
      <c r="BJ12" s="424">
        <v>0</v>
      </c>
      <c r="BK12" s="424">
        <v>0</v>
      </c>
      <c r="BL12" s="424">
        <v>0</v>
      </c>
      <c r="BM12" s="424">
        <v>0</v>
      </c>
      <c r="BN12" s="424">
        <v>0</v>
      </c>
      <c r="BO12" s="424">
        <v>0</v>
      </c>
      <c r="BP12" s="424">
        <v>0</v>
      </c>
      <c r="BQ12" s="424">
        <v>0</v>
      </c>
      <c r="BR12" s="424">
        <v>0</v>
      </c>
      <c r="BS12" s="424">
        <v>0</v>
      </c>
      <c r="BT12" s="424">
        <v>0</v>
      </c>
      <c r="BU12" s="424">
        <v>0</v>
      </c>
      <c r="BV12" s="424">
        <v>0</v>
      </c>
      <c r="BW12" s="424">
        <v>0</v>
      </c>
      <c r="BX12" s="424">
        <v>0</v>
      </c>
    </row>
    <row r="13" spans="1:76">
      <c r="A13" s="450" t="s">
        <v>147</v>
      </c>
      <c r="B13" s="424">
        <v>1</v>
      </c>
      <c r="C13" s="424">
        <f>ROUND((($U$1*X$13)+($V$1*X$23)+($U$1*AP$13)+($V$1*AP$23)+($W$1*(1-(AP$13+AP$23)))+($W$1*(0-(X$13+X$23))))*$AO$5,0)</f>
        <v>1578</v>
      </c>
      <c r="D13" s="424">
        <f t="shared" ref="D13:R13" si="11">ROUND((($U$1*Y13)+($V$1*Y23)+($U$1*AQ13)+($V$1*AQ23)+($W$1*(1-(AQ13+AQ23)))+($W$1*(0-(Y13+Y23))))*$AO$5,0)</f>
        <v>1578</v>
      </c>
      <c r="E13" s="424">
        <f t="shared" si="11"/>
        <v>1578</v>
      </c>
      <c r="F13" s="424">
        <f t="shared" si="11"/>
        <v>1578</v>
      </c>
      <c r="G13" s="424">
        <f t="shared" si="11"/>
        <v>1578</v>
      </c>
      <c r="H13" s="424">
        <f t="shared" si="11"/>
        <v>1578</v>
      </c>
      <c r="I13" s="424">
        <f t="shared" si="11"/>
        <v>1578</v>
      </c>
      <c r="J13" s="424">
        <f t="shared" si="11"/>
        <v>1578</v>
      </c>
      <c r="K13" s="424">
        <f t="shared" si="11"/>
        <v>1578</v>
      </c>
      <c r="L13" s="424">
        <f t="shared" si="11"/>
        <v>1578</v>
      </c>
      <c r="M13" s="424">
        <f t="shared" si="11"/>
        <v>1578</v>
      </c>
      <c r="N13" s="424">
        <f t="shared" si="11"/>
        <v>1578</v>
      </c>
      <c r="O13" s="424">
        <f t="shared" si="11"/>
        <v>1578</v>
      </c>
      <c r="P13" s="424">
        <f t="shared" si="11"/>
        <v>1578</v>
      </c>
      <c r="Q13" s="424">
        <f t="shared" si="11"/>
        <v>1578</v>
      </c>
      <c r="R13" s="424">
        <f t="shared" si="11"/>
        <v>1609</v>
      </c>
      <c r="V13" s="424" t="s">
        <v>148</v>
      </c>
      <c r="W13" s="424" t="s">
        <v>135</v>
      </c>
      <c r="X13" s="424">
        <v>0</v>
      </c>
      <c r="Y13" s="424">
        <v>0</v>
      </c>
      <c r="Z13" s="424">
        <v>0</v>
      </c>
      <c r="AA13" s="424">
        <v>0</v>
      </c>
      <c r="AB13" s="424">
        <v>0</v>
      </c>
      <c r="AC13" s="424">
        <v>0</v>
      </c>
      <c r="AD13" s="424">
        <v>0</v>
      </c>
      <c r="AE13" s="424">
        <v>0</v>
      </c>
      <c r="AF13" s="424">
        <v>0</v>
      </c>
      <c r="AG13" s="424">
        <v>0</v>
      </c>
      <c r="AH13" s="424">
        <v>0</v>
      </c>
      <c r="AI13" s="424">
        <v>0</v>
      </c>
      <c r="AJ13" s="424">
        <v>0</v>
      </c>
      <c r="AK13" s="424">
        <v>0</v>
      </c>
      <c r="AL13" s="424">
        <v>0</v>
      </c>
      <c r="AM13" s="424">
        <v>0</v>
      </c>
      <c r="AN13" s="424" t="s">
        <v>148</v>
      </c>
      <c r="AO13" s="424" t="s">
        <v>135</v>
      </c>
      <c r="AP13" s="424">
        <v>1</v>
      </c>
      <c r="AQ13" s="424">
        <v>1</v>
      </c>
      <c r="AR13" s="424">
        <v>1</v>
      </c>
      <c r="AS13" s="424">
        <v>1</v>
      </c>
      <c r="AT13" s="424">
        <v>1</v>
      </c>
      <c r="AU13" s="424">
        <v>1</v>
      </c>
      <c r="AV13" s="424">
        <v>1</v>
      </c>
      <c r="AW13" s="424">
        <v>1</v>
      </c>
      <c r="AX13" s="424">
        <v>1</v>
      </c>
      <c r="AY13" s="424">
        <v>1</v>
      </c>
      <c r="AZ13" s="424">
        <v>1</v>
      </c>
      <c r="BA13" s="424">
        <v>1</v>
      </c>
      <c r="BB13" s="424">
        <v>1</v>
      </c>
      <c r="BC13" s="424">
        <v>1</v>
      </c>
      <c r="BD13" s="424">
        <v>1</v>
      </c>
      <c r="BE13" s="424">
        <v>0.5</v>
      </c>
      <c r="BG13" s="424" t="s">
        <v>148</v>
      </c>
      <c r="BH13" s="424" t="s">
        <v>144</v>
      </c>
      <c r="BI13" s="424">
        <v>0</v>
      </c>
      <c r="BJ13" s="424">
        <v>0</v>
      </c>
      <c r="BK13" s="424">
        <v>0</v>
      </c>
      <c r="BL13" s="424">
        <v>0</v>
      </c>
      <c r="BM13" s="424">
        <v>0</v>
      </c>
      <c r="BN13" s="424">
        <v>0</v>
      </c>
      <c r="BO13" s="424">
        <v>0</v>
      </c>
      <c r="BP13" s="424">
        <v>0</v>
      </c>
      <c r="BQ13" s="424">
        <v>0</v>
      </c>
      <c r="BR13" s="424">
        <v>0</v>
      </c>
      <c r="BS13" s="424">
        <v>0</v>
      </c>
      <c r="BT13" s="424">
        <v>0</v>
      </c>
      <c r="BU13" s="424">
        <v>0</v>
      </c>
      <c r="BV13" s="424">
        <v>0</v>
      </c>
      <c r="BW13" s="424">
        <v>0</v>
      </c>
      <c r="BX13" s="424">
        <v>0</v>
      </c>
    </row>
    <row r="14" spans="1:76">
      <c r="AN14" s="440" t="s">
        <v>127</v>
      </c>
      <c r="AO14" s="451">
        <f>+W5</f>
        <v>0.5</v>
      </c>
    </row>
    <row r="15" spans="1:76" ht="15.75">
      <c r="A15" s="177" t="s">
        <v>345</v>
      </c>
      <c r="B15" s="433"/>
      <c r="C15" s="434"/>
      <c r="D15" s="434"/>
      <c r="E15" s="434"/>
      <c r="F15" s="434"/>
      <c r="G15" s="434"/>
      <c r="H15" s="434"/>
      <c r="I15" s="434"/>
      <c r="J15" s="434"/>
      <c r="K15" s="434"/>
      <c r="L15" s="434"/>
      <c r="M15" s="434"/>
      <c r="N15" s="434"/>
      <c r="O15" s="434"/>
      <c r="P15" s="434"/>
      <c r="Q15" s="434"/>
      <c r="R15" s="434"/>
      <c r="V15" s="437" t="s">
        <v>127</v>
      </c>
      <c r="W15" s="438">
        <f>+W5</f>
        <v>0.5</v>
      </c>
      <c r="AN15" s="452"/>
      <c r="AO15" s="448"/>
      <c r="AP15" s="452">
        <f t="shared" ref="AP15:BE15" si="12">+X16</f>
        <v>40359</v>
      </c>
      <c r="AQ15" s="452">
        <f t="shared" si="12"/>
        <v>40374</v>
      </c>
      <c r="AR15" s="452">
        <f t="shared" si="12"/>
        <v>40390</v>
      </c>
      <c r="AS15" s="452">
        <f t="shared" si="12"/>
        <v>40405</v>
      </c>
      <c r="AT15" s="452">
        <f t="shared" si="12"/>
        <v>40421</v>
      </c>
      <c r="AU15" s="452">
        <f t="shared" si="12"/>
        <v>40451</v>
      </c>
      <c r="AV15" s="452">
        <f t="shared" si="12"/>
        <v>40482</v>
      </c>
      <c r="AW15" s="452">
        <f t="shared" si="12"/>
        <v>40512</v>
      </c>
      <c r="AX15" s="452">
        <f t="shared" si="12"/>
        <v>40543</v>
      </c>
      <c r="AY15" s="452">
        <f t="shared" si="12"/>
        <v>40574</v>
      </c>
      <c r="AZ15" s="452">
        <f t="shared" si="12"/>
        <v>40602</v>
      </c>
      <c r="BA15" s="452">
        <f t="shared" si="12"/>
        <v>40633</v>
      </c>
      <c r="BB15" s="452">
        <f t="shared" si="12"/>
        <v>40663</v>
      </c>
      <c r="BC15" s="452">
        <f t="shared" si="12"/>
        <v>40678</v>
      </c>
      <c r="BD15" s="452">
        <f t="shared" si="12"/>
        <v>40694</v>
      </c>
      <c r="BE15" s="452">
        <f t="shared" si="12"/>
        <v>40709</v>
      </c>
    </row>
    <row r="16" spans="1:76" ht="16.5">
      <c r="A16" s="435"/>
      <c r="B16" s="436" t="s">
        <v>128</v>
      </c>
      <c r="C16" s="434"/>
      <c r="D16" s="434"/>
      <c r="E16" s="434"/>
      <c r="F16" s="434"/>
      <c r="G16" s="434"/>
      <c r="H16" s="434"/>
      <c r="I16" s="434"/>
      <c r="J16" s="434"/>
      <c r="K16" s="434"/>
      <c r="L16" s="434"/>
      <c r="M16" s="434"/>
      <c r="N16" s="434"/>
      <c r="O16" s="434"/>
      <c r="P16" s="434"/>
      <c r="Q16" s="434"/>
      <c r="R16" s="434"/>
      <c r="V16" s="445" t="s">
        <v>149</v>
      </c>
      <c r="W16" s="446"/>
      <c r="X16" s="452">
        <f t="shared" ref="X16:AM16" si="13">+C17</f>
        <v>40359</v>
      </c>
      <c r="Y16" s="452">
        <f t="shared" si="13"/>
        <v>40374</v>
      </c>
      <c r="Z16" s="452">
        <f t="shared" si="13"/>
        <v>40390</v>
      </c>
      <c r="AA16" s="452">
        <f t="shared" si="13"/>
        <v>40405</v>
      </c>
      <c r="AB16" s="452">
        <f t="shared" si="13"/>
        <v>40421</v>
      </c>
      <c r="AC16" s="452">
        <f t="shared" si="13"/>
        <v>40451</v>
      </c>
      <c r="AD16" s="452">
        <f t="shared" si="13"/>
        <v>40482</v>
      </c>
      <c r="AE16" s="452">
        <f t="shared" si="13"/>
        <v>40512</v>
      </c>
      <c r="AF16" s="452">
        <f t="shared" si="13"/>
        <v>40543</v>
      </c>
      <c r="AG16" s="452">
        <f t="shared" si="13"/>
        <v>40574</v>
      </c>
      <c r="AH16" s="452">
        <f t="shared" si="13"/>
        <v>40602</v>
      </c>
      <c r="AI16" s="452">
        <f t="shared" si="13"/>
        <v>40633</v>
      </c>
      <c r="AJ16" s="452">
        <f t="shared" si="13"/>
        <v>40663</v>
      </c>
      <c r="AK16" s="452">
        <f t="shared" si="13"/>
        <v>40678</v>
      </c>
      <c r="AL16" s="452">
        <f t="shared" si="13"/>
        <v>40694</v>
      </c>
      <c r="AM16" s="452">
        <f t="shared" si="13"/>
        <v>40709</v>
      </c>
      <c r="AN16" s="453"/>
      <c r="AP16" s="453"/>
      <c r="AQ16" s="453"/>
      <c r="AR16" s="453"/>
      <c r="AS16" s="453"/>
      <c r="AT16" s="453"/>
      <c r="AU16" s="453"/>
      <c r="AV16" s="453"/>
      <c r="AW16" s="453"/>
      <c r="AX16" s="453"/>
      <c r="AY16" s="453"/>
      <c r="AZ16" s="453"/>
      <c r="BA16" s="453"/>
      <c r="BB16" s="453"/>
      <c r="BC16" s="453"/>
      <c r="BD16" s="453"/>
      <c r="BE16" s="453"/>
    </row>
    <row r="17" spans="1:57">
      <c r="A17" s="442"/>
      <c r="B17" s="443" t="s">
        <v>132</v>
      </c>
      <c r="C17" s="444">
        <f>+C6</f>
        <v>40359</v>
      </c>
      <c r="D17" s="444">
        <f t="shared" ref="D17:R17" si="14">+D6</f>
        <v>40374</v>
      </c>
      <c r="E17" s="444">
        <f t="shared" si="14"/>
        <v>40390</v>
      </c>
      <c r="F17" s="444">
        <f t="shared" si="14"/>
        <v>40405</v>
      </c>
      <c r="G17" s="444">
        <f t="shared" si="14"/>
        <v>40421</v>
      </c>
      <c r="H17" s="444">
        <f t="shared" si="14"/>
        <v>40451</v>
      </c>
      <c r="I17" s="444">
        <f t="shared" si="14"/>
        <v>40482</v>
      </c>
      <c r="J17" s="444">
        <f t="shared" si="14"/>
        <v>40512</v>
      </c>
      <c r="K17" s="444">
        <f t="shared" si="14"/>
        <v>40543</v>
      </c>
      <c r="L17" s="444">
        <f t="shared" si="14"/>
        <v>40574</v>
      </c>
      <c r="M17" s="444">
        <f t="shared" si="14"/>
        <v>40602</v>
      </c>
      <c r="N17" s="444">
        <f t="shared" si="14"/>
        <v>40633</v>
      </c>
      <c r="O17" s="444">
        <f t="shared" si="14"/>
        <v>40663</v>
      </c>
      <c r="P17" s="444">
        <f t="shared" si="14"/>
        <v>40678</v>
      </c>
      <c r="Q17" s="444">
        <f t="shared" si="14"/>
        <v>40694</v>
      </c>
      <c r="R17" s="444">
        <f t="shared" si="14"/>
        <v>40709</v>
      </c>
      <c r="V17" s="424" t="s">
        <v>86</v>
      </c>
      <c r="W17" s="424" t="s">
        <v>136</v>
      </c>
      <c r="X17" s="424">
        <v>0</v>
      </c>
      <c r="Y17" s="424">
        <v>0</v>
      </c>
      <c r="Z17" s="424">
        <v>0</v>
      </c>
      <c r="AA17" s="424">
        <v>0</v>
      </c>
      <c r="AB17" s="424">
        <v>0.5</v>
      </c>
      <c r="AC17" s="424">
        <v>1.5</v>
      </c>
      <c r="AD17" s="424">
        <v>2.5</v>
      </c>
      <c r="AE17" s="424">
        <v>3.5</v>
      </c>
      <c r="AF17" s="424">
        <v>4.5</v>
      </c>
      <c r="AG17" s="424">
        <v>5.5</v>
      </c>
      <c r="AH17" s="424">
        <v>6.5</v>
      </c>
      <c r="AI17" s="424">
        <v>7.5</v>
      </c>
      <c r="AJ17" s="424">
        <v>8.5</v>
      </c>
      <c r="AK17" s="424">
        <v>9</v>
      </c>
      <c r="AL17" s="424">
        <v>9</v>
      </c>
      <c r="AM17" s="424">
        <v>9</v>
      </c>
      <c r="AN17" s="424" t="s">
        <v>86</v>
      </c>
      <c r="AO17" s="424" t="s">
        <v>144</v>
      </c>
      <c r="AP17" s="424">
        <f t="shared" ref="AP17:BD17" si="15">3-AP7</f>
        <v>0</v>
      </c>
      <c r="AQ17" s="424">
        <f t="shared" si="15"/>
        <v>0.5</v>
      </c>
      <c r="AR17" s="424">
        <f t="shared" si="15"/>
        <v>1</v>
      </c>
      <c r="AS17" s="424">
        <f t="shared" si="15"/>
        <v>1.5</v>
      </c>
      <c r="AT17" s="424">
        <f t="shared" si="15"/>
        <v>1.5</v>
      </c>
      <c r="AU17" s="424">
        <f t="shared" si="15"/>
        <v>1.5</v>
      </c>
      <c r="AV17" s="424">
        <f t="shared" si="15"/>
        <v>1.5</v>
      </c>
      <c r="AW17" s="424">
        <f t="shared" si="15"/>
        <v>1.5</v>
      </c>
      <c r="AX17" s="424">
        <f t="shared" si="15"/>
        <v>1.5</v>
      </c>
      <c r="AY17" s="424">
        <f t="shared" si="15"/>
        <v>1.5</v>
      </c>
      <c r="AZ17" s="424">
        <f t="shared" si="15"/>
        <v>1.5</v>
      </c>
      <c r="BA17" s="424">
        <f t="shared" si="15"/>
        <v>1.5</v>
      </c>
      <c r="BB17" s="424">
        <f t="shared" si="15"/>
        <v>1.5</v>
      </c>
      <c r="BC17" s="424">
        <f t="shared" si="15"/>
        <v>1.5</v>
      </c>
      <c r="BD17" s="424">
        <f t="shared" si="15"/>
        <v>2</v>
      </c>
      <c r="BE17" s="424">
        <f>3-BE7</f>
        <v>2.5</v>
      </c>
    </row>
    <row r="18" spans="1:57">
      <c r="A18" s="450" t="s">
        <v>133</v>
      </c>
      <c r="B18" s="424">
        <v>12</v>
      </c>
      <c r="C18" s="424">
        <f t="shared" ref="C18:R18" si="16">ROUND((($U$2*X$7)+($V$2*X$17)+($U$2*AP$7)+($V$2*AP$17)+($W$2*(3-(AP$7+AP$17)))+($W$2*(9-(X$7+X$17))))*$AO$5,0)</f>
        <v>17838</v>
      </c>
      <c r="D18" s="424">
        <f t="shared" si="16"/>
        <v>17868</v>
      </c>
      <c r="E18" s="424">
        <f t="shared" si="16"/>
        <v>17898</v>
      </c>
      <c r="F18" s="424">
        <f t="shared" si="16"/>
        <v>17927</v>
      </c>
      <c r="G18" s="424">
        <f t="shared" si="16"/>
        <v>17957</v>
      </c>
      <c r="H18" s="424">
        <f t="shared" si="16"/>
        <v>18017</v>
      </c>
      <c r="I18" s="424">
        <f t="shared" si="16"/>
        <v>18076</v>
      </c>
      <c r="J18" s="424">
        <f t="shared" si="16"/>
        <v>18136</v>
      </c>
      <c r="K18" s="424">
        <f t="shared" si="16"/>
        <v>18195</v>
      </c>
      <c r="L18" s="424">
        <f t="shared" si="16"/>
        <v>18255</v>
      </c>
      <c r="M18" s="424">
        <f t="shared" si="16"/>
        <v>18314</v>
      </c>
      <c r="N18" s="424">
        <f t="shared" si="16"/>
        <v>18374</v>
      </c>
      <c r="O18" s="424">
        <f t="shared" si="16"/>
        <v>18433</v>
      </c>
      <c r="P18" s="424">
        <f t="shared" si="16"/>
        <v>18463</v>
      </c>
      <c r="Q18" s="424">
        <f t="shared" si="16"/>
        <v>18493</v>
      </c>
      <c r="R18" s="424">
        <f t="shared" si="16"/>
        <v>18522</v>
      </c>
      <c r="V18" s="424" t="s">
        <v>138</v>
      </c>
      <c r="W18" s="424" t="s">
        <v>140</v>
      </c>
      <c r="X18" s="424">
        <v>0</v>
      </c>
      <c r="Y18" s="424">
        <v>0</v>
      </c>
      <c r="Z18" s="424">
        <v>0</v>
      </c>
      <c r="AA18" s="424">
        <v>0</v>
      </c>
      <c r="AB18" s="424">
        <v>0.5</v>
      </c>
      <c r="AC18" s="424">
        <v>1.5</v>
      </c>
      <c r="AD18" s="424">
        <v>2.5</v>
      </c>
      <c r="AE18" s="424">
        <v>3.5</v>
      </c>
      <c r="AF18" s="424">
        <v>4.5</v>
      </c>
      <c r="AG18" s="424">
        <v>5.5</v>
      </c>
      <c r="AH18" s="424">
        <v>6.5</v>
      </c>
      <c r="AI18" s="424">
        <v>7.5</v>
      </c>
      <c r="AJ18" s="424">
        <v>8.5</v>
      </c>
      <c r="AK18" s="424">
        <v>9</v>
      </c>
      <c r="AL18" s="424">
        <v>9</v>
      </c>
      <c r="AM18" s="424">
        <v>9</v>
      </c>
      <c r="AN18" s="424" t="s">
        <v>138</v>
      </c>
      <c r="AO18" s="424" t="s">
        <v>144</v>
      </c>
      <c r="AP18" s="424">
        <f t="shared" ref="AP18:BE18" si="17">2-AP8</f>
        <v>0</v>
      </c>
      <c r="AQ18" s="424">
        <f t="shared" si="17"/>
        <v>0</v>
      </c>
      <c r="AR18" s="424">
        <f t="shared" si="17"/>
        <v>0</v>
      </c>
      <c r="AS18" s="424">
        <f t="shared" si="17"/>
        <v>0.5</v>
      </c>
      <c r="AT18" s="424">
        <f t="shared" si="17"/>
        <v>0.5</v>
      </c>
      <c r="AU18" s="424">
        <f t="shared" si="17"/>
        <v>0.5</v>
      </c>
      <c r="AV18" s="424">
        <f t="shared" si="17"/>
        <v>0.5</v>
      </c>
      <c r="AW18" s="424">
        <f t="shared" si="17"/>
        <v>0.5</v>
      </c>
      <c r="AX18" s="424">
        <f t="shared" si="17"/>
        <v>0.5</v>
      </c>
      <c r="AY18" s="424">
        <f t="shared" si="17"/>
        <v>0.5</v>
      </c>
      <c r="AZ18" s="424">
        <f t="shared" si="17"/>
        <v>0.5</v>
      </c>
      <c r="BA18" s="424">
        <f t="shared" si="17"/>
        <v>0.5</v>
      </c>
      <c r="BB18" s="424">
        <f t="shared" si="17"/>
        <v>0.5</v>
      </c>
      <c r="BC18" s="424">
        <f t="shared" si="17"/>
        <v>0.5</v>
      </c>
      <c r="BD18" s="424">
        <f t="shared" si="17"/>
        <v>1</v>
      </c>
      <c r="BE18" s="424">
        <f t="shared" si="17"/>
        <v>1.5</v>
      </c>
    </row>
    <row r="19" spans="1:57">
      <c r="A19" s="450" t="s">
        <v>137</v>
      </c>
      <c r="B19" s="424">
        <v>11</v>
      </c>
      <c r="C19" s="424">
        <f t="shared" ref="C19:R19" si="18">ROUND((($U$2*X$8)+($V$2*X$18)+($U$2*AP$8)+($V$2*AP$18)+($W$2*(2-(AP$8+AP$18)))+($W$2*(9-(X$8+X$18))))*$AO$5,0)</f>
        <v>16352</v>
      </c>
      <c r="D19" s="424">
        <f t="shared" si="18"/>
        <v>16352</v>
      </c>
      <c r="E19" s="424">
        <f t="shared" si="18"/>
        <v>16352</v>
      </c>
      <c r="F19" s="424">
        <f t="shared" si="18"/>
        <v>16381</v>
      </c>
      <c r="G19" s="424">
        <f t="shared" si="18"/>
        <v>16411</v>
      </c>
      <c r="H19" s="424">
        <f t="shared" si="18"/>
        <v>16471</v>
      </c>
      <c r="I19" s="424">
        <f t="shared" si="18"/>
        <v>16530</v>
      </c>
      <c r="J19" s="424">
        <f t="shared" si="18"/>
        <v>16590</v>
      </c>
      <c r="K19" s="424">
        <f t="shared" si="18"/>
        <v>16649</v>
      </c>
      <c r="L19" s="424">
        <f t="shared" si="18"/>
        <v>16709</v>
      </c>
      <c r="M19" s="424">
        <f t="shared" si="18"/>
        <v>16768</v>
      </c>
      <c r="N19" s="424">
        <f t="shared" si="18"/>
        <v>16828</v>
      </c>
      <c r="O19" s="424">
        <f t="shared" si="18"/>
        <v>16887</v>
      </c>
      <c r="P19" s="424">
        <f t="shared" si="18"/>
        <v>16917</v>
      </c>
      <c r="Q19" s="424">
        <f t="shared" si="18"/>
        <v>16947</v>
      </c>
      <c r="R19" s="424">
        <f t="shared" si="18"/>
        <v>16976</v>
      </c>
      <c r="V19" s="424" t="s">
        <v>85</v>
      </c>
      <c r="W19" s="424" t="s">
        <v>140</v>
      </c>
      <c r="X19" s="424">
        <v>0</v>
      </c>
      <c r="Y19" s="424">
        <v>0</v>
      </c>
      <c r="Z19" s="424">
        <v>0</v>
      </c>
      <c r="AA19" s="424">
        <v>0</v>
      </c>
      <c r="AB19" s="424">
        <v>0.5</v>
      </c>
      <c r="AC19" s="424">
        <v>1.5</v>
      </c>
      <c r="AD19" s="424">
        <v>2.5</v>
      </c>
      <c r="AE19" s="424">
        <v>3.5</v>
      </c>
      <c r="AF19" s="424">
        <v>4.5</v>
      </c>
      <c r="AG19" s="424">
        <v>5.5</v>
      </c>
      <c r="AH19" s="424">
        <v>6.5</v>
      </c>
      <c r="AI19" s="424">
        <v>7.5</v>
      </c>
      <c r="AJ19" s="424">
        <v>8.5</v>
      </c>
      <c r="AK19" s="424">
        <v>9</v>
      </c>
      <c r="AL19" s="424">
        <v>9</v>
      </c>
      <c r="AM19" s="424">
        <v>9</v>
      </c>
      <c r="AN19" s="424" t="s">
        <v>85</v>
      </c>
      <c r="AO19" s="424" t="s">
        <v>144</v>
      </c>
      <c r="AP19" s="424">
        <f t="shared" ref="AP19:BE19" si="19">1-AP9</f>
        <v>0</v>
      </c>
      <c r="AQ19" s="424">
        <f t="shared" si="19"/>
        <v>0</v>
      </c>
      <c r="AR19" s="424">
        <f t="shared" si="19"/>
        <v>0</v>
      </c>
      <c r="AS19" s="424">
        <f t="shared" si="19"/>
        <v>0</v>
      </c>
      <c r="AT19" s="424">
        <f t="shared" si="19"/>
        <v>0</v>
      </c>
      <c r="AU19" s="424">
        <f t="shared" si="19"/>
        <v>0</v>
      </c>
      <c r="AV19" s="424">
        <f t="shared" si="19"/>
        <v>0</v>
      </c>
      <c r="AW19" s="424">
        <f t="shared" si="19"/>
        <v>0</v>
      </c>
      <c r="AX19" s="424">
        <f t="shared" si="19"/>
        <v>0</v>
      </c>
      <c r="AY19" s="424">
        <f t="shared" si="19"/>
        <v>0</v>
      </c>
      <c r="AZ19" s="424">
        <f t="shared" si="19"/>
        <v>0</v>
      </c>
      <c r="BA19" s="424">
        <f t="shared" si="19"/>
        <v>0</v>
      </c>
      <c r="BB19" s="424">
        <f t="shared" si="19"/>
        <v>0</v>
      </c>
      <c r="BC19" s="424">
        <f t="shared" si="19"/>
        <v>0</v>
      </c>
      <c r="BD19" s="424">
        <f t="shared" si="19"/>
        <v>0</v>
      </c>
      <c r="BE19" s="424">
        <f t="shared" si="19"/>
        <v>0.5</v>
      </c>
    </row>
    <row r="20" spans="1:57">
      <c r="A20" s="450" t="s">
        <v>141</v>
      </c>
      <c r="B20" s="424">
        <v>10</v>
      </c>
      <c r="C20" s="424">
        <f t="shared" ref="C20:R20" si="20">ROUND((($U$2*X$9)+($V$2*X$19)+($U$2*AP$9)+($V$2*AP$19)+($W$2*(1-(AP$9+AP$19)))+($W$2*(9-(X$9+X$19))))*$AO$5,0)</f>
        <v>14865</v>
      </c>
      <c r="D20" s="424">
        <f t="shared" si="20"/>
        <v>14865</v>
      </c>
      <c r="E20" s="424">
        <f t="shared" si="20"/>
        <v>14865</v>
      </c>
      <c r="F20" s="424">
        <f t="shared" si="20"/>
        <v>14865</v>
      </c>
      <c r="G20" s="424">
        <f t="shared" si="20"/>
        <v>14895</v>
      </c>
      <c r="H20" s="424">
        <f t="shared" si="20"/>
        <v>14954</v>
      </c>
      <c r="I20" s="424">
        <f t="shared" si="20"/>
        <v>15014</v>
      </c>
      <c r="J20" s="424">
        <f t="shared" si="20"/>
        <v>15073</v>
      </c>
      <c r="K20" s="424">
        <f t="shared" si="20"/>
        <v>15133</v>
      </c>
      <c r="L20" s="424">
        <f t="shared" si="20"/>
        <v>15192</v>
      </c>
      <c r="M20" s="424">
        <f t="shared" si="20"/>
        <v>15252</v>
      </c>
      <c r="N20" s="424">
        <f t="shared" si="20"/>
        <v>15311</v>
      </c>
      <c r="O20" s="424">
        <f t="shared" si="20"/>
        <v>15371</v>
      </c>
      <c r="P20" s="424">
        <f t="shared" si="20"/>
        <v>15401</v>
      </c>
      <c r="Q20" s="424">
        <f t="shared" si="20"/>
        <v>15401</v>
      </c>
      <c r="R20" s="424">
        <f t="shared" si="20"/>
        <v>15430</v>
      </c>
      <c r="V20" s="424" t="s">
        <v>84</v>
      </c>
      <c r="W20" s="424" t="s">
        <v>140</v>
      </c>
      <c r="X20" s="424">
        <v>0</v>
      </c>
      <c r="Y20" s="424">
        <v>0</v>
      </c>
      <c r="Z20" s="424">
        <v>0</v>
      </c>
      <c r="AA20" s="424">
        <v>0</v>
      </c>
      <c r="AB20" s="424">
        <v>0.5</v>
      </c>
      <c r="AC20" s="424">
        <v>1.5</v>
      </c>
      <c r="AD20" s="424">
        <v>2.5</v>
      </c>
      <c r="AE20" s="424">
        <v>3.5</v>
      </c>
      <c r="AF20" s="424">
        <v>4.5</v>
      </c>
      <c r="AG20" s="424">
        <v>5.5</v>
      </c>
      <c r="AH20" s="424">
        <v>6.5</v>
      </c>
      <c r="AI20" s="424">
        <v>7.5</v>
      </c>
      <c r="AJ20" s="424">
        <v>8.5</v>
      </c>
      <c r="AK20" s="424">
        <v>9</v>
      </c>
      <c r="AL20" s="424">
        <v>9</v>
      </c>
      <c r="AM20" s="424">
        <v>9</v>
      </c>
      <c r="AN20" s="424" t="s">
        <v>84</v>
      </c>
      <c r="AO20" s="424" t="s">
        <v>144</v>
      </c>
      <c r="AP20" s="424">
        <v>0</v>
      </c>
      <c r="AQ20" s="424">
        <v>0</v>
      </c>
      <c r="AR20" s="424">
        <v>0</v>
      </c>
      <c r="AS20" s="424">
        <v>0</v>
      </c>
      <c r="AT20" s="424">
        <v>0</v>
      </c>
      <c r="AU20" s="424">
        <v>0</v>
      </c>
      <c r="AV20" s="424">
        <v>0</v>
      </c>
      <c r="AW20" s="424">
        <v>0</v>
      </c>
      <c r="AX20" s="424">
        <v>0</v>
      </c>
      <c r="AY20" s="424">
        <v>0</v>
      </c>
      <c r="AZ20" s="424">
        <v>0</v>
      </c>
      <c r="BA20" s="424">
        <v>0</v>
      </c>
      <c r="BB20" s="424">
        <v>0</v>
      </c>
      <c r="BC20" s="424">
        <v>0</v>
      </c>
      <c r="BD20" s="424">
        <v>0</v>
      </c>
      <c r="BE20" s="424">
        <v>0</v>
      </c>
    </row>
    <row r="21" spans="1:57">
      <c r="A21" s="450" t="s">
        <v>142</v>
      </c>
      <c r="B21" s="424">
        <v>9</v>
      </c>
      <c r="C21" s="424">
        <f t="shared" ref="C21:R21" si="21">ROUND((($U$2*X$10)+($V$2*X$20)+($U$2*AP$10)+($V$2*AP$20)+($W$2*(0-(AP$10+AP$20)))+($W$2*(9-(X$10+X$20))))*$AO$5,0)</f>
        <v>13379</v>
      </c>
      <c r="D21" s="424">
        <f t="shared" si="21"/>
        <v>13379</v>
      </c>
      <c r="E21" s="424">
        <f t="shared" si="21"/>
        <v>13379</v>
      </c>
      <c r="F21" s="424">
        <f t="shared" si="21"/>
        <v>13379</v>
      </c>
      <c r="G21" s="424">
        <f t="shared" si="21"/>
        <v>13408</v>
      </c>
      <c r="H21" s="424">
        <f t="shared" si="21"/>
        <v>13468</v>
      </c>
      <c r="I21" s="424">
        <f t="shared" si="21"/>
        <v>13527</v>
      </c>
      <c r="J21" s="424">
        <f t="shared" si="21"/>
        <v>13587</v>
      </c>
      <c r="K21" s="424">
        <f t="shared" si="21"/>
        <v>13646</v>
      </c>
      <c r="L21" s="424">
        <f t="shared" si="21"/>
        <v>13706</v>
      </c>
      <c r="M21" s="424">
        <f t="shared" si="21"/>
        <v>13765</v>
      </c>
      <c r="N21" s="424">
        <f t="shared" si="21"/>
        <v>13825</v>
      </c>
      <c r="O21" s="424">
        <f t="shared" si="21"/>
        <v>13884</v>
      </c>
      <c r="P21" s="424">
        <f t="shared" si="21"/>
        <v>13914</v>
      </c>
      <c r="Q21" s="424">
        <f t="shared" si="21"/>
        <v>13914</v>
      </c>
      <c r="R21" s="424">
        <f t="shared" si="21"/>
        <v>13914</v>
      </c>
      <c r="V21" s="424" t="s">
        <v>81</v>
      </c>
      <c r="W21" s="424" t="s">
        <v>144</v>
      </c>
      <c r="X21" s="424">
        <v>0</v>
      </c>
      <c r="Y21" s="424">
        <v>0</v>
      </c>
      <c r="Z21" s="424">
        <v>0</v>
      </c>
      <c r="AA21" s="424">
        <v>0</v>
      </c>
      <c r="AB21" s="424">
        <v>0</v>
      </c>
      <c r="AC21" s="424">
        <v>0</v>
      </c>
      <c r="AD21" s="424">
        <v>0</v>
      </c>
      <c r="AE21" s="424">
        <v>0</v>
      </c>
      <c r="AF21" s="424">
        <v>0</v>
      </c>
      <c r="AG21" s="424">
        <v>0</v>
      </c>
      <c r="AH21" s="424">
        <v>0</v>
      </c>
      <c r="AI21" s="424">
        <v>0</v>
      </c>
      <c r="AJ21" s="424">
        <v>0</v>
      </c>
      <c r="AK21" s="424">
        <v>0</v>
      </c>
      <c r="AL21" s="424">
        <v>0</v>
      </c>
      <c r="AM21" s="424">
        <v>0</v>
      </c>
      <c r="AN21" s="424" t="s">
        <v>81</v>
      </c>
      <c r="AO21" s="424" t="s">
        <v>144</v>
      </c>
      <c r="AP21" s="424">
        <f t="shared" ref="AP21:BE21" si="22">3-AP11</f>
        <v>0</v>
      </c>
      <c r="AQ21" s="424">
        <f t="shared" si="22"/>
        <v>0.5</v>
      </c>
      <c r="AR21" s="424">
        <f t="shared" si="22"/>
        <v>1</v>
      </c>
      <c r="AS21" s="424">
        <f t="shared" si="22"/>
        <v>1.5</v>
      </c>
      <c r="AT21" s="424">
        <f t="shared" si="22"/>
        <v>1.5</v>
      </c>
      <c r="AU21" s="424">
        <f t="shared" si="22"/>
        <v>1.5</v>
      </c>
      <c r="AV21" s="424">
        <f t="shared" si="22"/>
        <v>1.5</v>
      </c>
      <c r="AW21" s="424">
        <f t="shared" si="22"/>
        <v>1.5</v>
      </c>
      <c r="AX21" s="424">
        <f t="shared" si="22"/>
        <v>1.5</v>
      </c>
      <c r="AY21" s="424">
        <f t="shared" si="22"/>
        <v>1.5</v>
      </c>
      <c r="AZ21" s="424">
        <f t="shared" si="22"/>
        <v>1.5</v>
      </c>
      <c r="BA21" s="424">
        <f t="shared" si="22"/>
        <v>1.5</v>
      </c>
      <c r="BB21" s="424">
        <f t="shared" si="22"/>
        <v>1.5</v>
      </c>
      <c r="BC21" s="424">
        <f t="shared" si="22"/>
        <v>1.5</v>
      </c>
      <c r="BD21" s="424">
        <f t="shared" si="22"/>
        <v>2</v>
      </c>
      <c r="BE21" s="424">
        <f t="shared" si="22"/>
        <v>2.5</v>
      </c>
    </row>
    <row r="22" spans="1:57">
      <c r="A22" s="450" t="s">
        <v>143</v>
      </c>
      <c r="B22" s="424">
        <v>3</v>
      </c>
      <c r="C22" s="424">
        <f t="shared" ref="C22:R22" si="23">ROUND((($U$2*X$11)+($V$2*X$21)+($U$2*AP$11)+($V$2*AP$21)+($W$2*(3-(AP$11+AP$21)))+($W$2*(0-(X$11+X$21))))*$AO$5,0)</f>
        <v>4460</v>
      </c>
      <c r="D22" s="424">
        <f t="shared" si="23"/>
        <v>4489</v>
      </c>
      <c r="E22" s="424">
        <f t="shared" si="23"/>
        <v>4519</v>
      </c>
      <c r="F22" s="424">
        <f t="shared" si="23"/>
        <v>4549</v>
      </c>
      <c r="G22" s="424">
        <f t="shared" si="23"/>
        <v>4549</v>
      </c>
      <c r="H22" s="424">
        <f t="shared" si="23"/>
        <v>4549</v>
      </c>
      <c r="I22" s="424">
        <f t="shared" si="23"/>
        <v>4549</v>
      </c>
      <c r="J22" s="424">
        <f t="shared" si="23"/>
        <v>4549</v>
      </c>
      <c r="K22" s="424">
        <f t="shared" si="23"/>
        <v>4549</v>
      </c>
      <c r="L22" s="424">
        <f t="shared" si="23"/>
        <v>4549</v>
      </c>
      <c r="M22" s="424">
        <f t="shared" si="23"/>
        <v>4549</v>
      </c>
      <c r="N22" s="424">
        <f t="shared" si="23"/>
        <v>4549</v>
      </c>
      <c r="O22" s="424">
        <f t="shared" si="23"/>
        <v>4549</v>
      </c>
      <c r="P22" s="424">
        <f t="shared" si="23"/>
        <v>4549</v>
      </c>
      <c r="Q22" s="424">
        <f t="shared" si="23"/>
        <v>4579</v>
      </c>
      <c r="R22" s="424">
        <f t="shared" si="23"/>
        <v>4608</v>
      </c>
      <c r="V22" s="424" t="s">
        <v>146</v>
      </c>
      <c r="W22" s="424" t="s">
        <v>144</v>
      </c>
      <c r="X22" s="424">
        <v>0</v>
      </c>
      <c r="Y22" s="424">
        <v>0</v>
      </c>
      <c r="Z22" s="424">
        <v>0</v>
      </c>
      <c r="AA22" s="424">
        <v>0</v>
      </c>
      <c r="AB22" s="424">
        <v>0</v>
      </c>
      <c r="AC22" s="424">
        <v>0</v>
      </c>
      <c r="AD22" s="424">
        <v>0</v>
      </c>
      <c r="AE22" s="424">
        <v>0</v>
      </c>
      <c r="AF22" s="424">
        <v>0</v>
      </c>
      <c r="AG22" s="424">
        <v>0</v>
      </c>
      <c r="AH22" s="424">
        <v>0</v>
      </c>
      <c r="AI22" s="424">
        <v>0</v>
      </c>
      <c r="AJ22" s="424">
        <v>0</v>
      </c>
      <c r="AK22" s="424">
        <v>0</v>
      </c>
      <c r="AL22" s="424">
        <v>0</v>
      </c>
      <c r="AM22" s="424">
        <v>0</v>
      </c>
      <c r="AN22" s="424" t="s">
        <v>146</v>
      </c>
      <c r="AO22" s="424" t="s">
        <v>144</v>
      </c>
      <c r="AP22" s="424">
        <f t="shared" ref="AP22:BE22" si="24">2-AP12</f>
        <v>0</v>
      </c>
      <c r="AQ22" s="424">
        <f t="shared" si="24"/>
        <v>0</v>
      </c>
      <c r="AR22" s="424">
        <f t="shared" si="24"/>
        <v>0</v>
      </c>
      <c r="AS22" s="424">
        <f t="shared" si="24"/>
        <v>0.5</v>
      </c>
      <c r="AT22" s="424">
        <f t="shared" si="24"/>
        <v>0.5</v>
      </c>
      <c r="AU22" s="424">
        <f t="shared" si="24"/>
        <v>0.5</v>
      </c>
      <c r="AV22" s="424">
        <f t="shared" si="24"/>
        <v>0.5</v>
      </c>
      <c r="AW22" s="424">
        <f t="shared" si="24"/>
        <v>0.5</v>
      </c>
      <c r="AX22" s="424">
        <f t="shared" si="24"/>
        <v>0.5</v>
      </c>
      <c r="AY22" s="424">
        <f t="shared" si="24"/>
        <v>0.5</v>
      </c>
      <c r="AZ22" s="424">
        <f t="shared" si="24"/>
        <v>0.5</v>
      </c>
      <c r="BA22" s="424">
        <f t="shared" si="24"/>
        <v>0.5</v>
      </c>
      <c r="BB22" s="424">
        <f t="shared" si="24"/>
        <v>0.5</v>
      </c>
      <c r="BC22" s="424">
        <f t="shared" si="24"/>
        <v>0.5</v>
      </c>
      <c r="BD22" s="424">
        <f t="shared" si="24"/>
        <v>1</v>
      </c>
      <c r="BE22" s="424">
        <f t="shared" si="24"/>
        <v>1.5</v>
      </c>
    </row>
    <row r="23" spans="1:57">
      <c r="A23" s="450" t="s">
        <v>145</v>
      </c>
      <c r="B23" s="424">
        <v>2</v>
      </c>
      <c r="C23" s="424">
        <f t="shared" ref="C23:R23" si="25">ROUND((($U$2*X$12)+($V$2*X$22)+($U$2*AP$12)+($V$2*AP$22)+($W$2*(2-(AP$12+AP$22)))+($W$2*(0-(X$12+X$22))))*$AO$5,0)</f>
        <v>2973</v>
      </c>
      <c r="D23" s="424">
        <f t="shared" si="25"/>
        <v>2973</v>
      </c>
      <c r="E23" s="424">
        <f t="shared" si="25"/>
        <v>2973</v>
      </c>
      <c r="F23" s="424">
        <f t="shared" si="25"/>
        <v>3003</v>
      </c>
      <c r="G23" s="424">
        <f t="shared" si="25"/>
        <v>3003</v>
      </c>
      <c r="H23" s="424">
        <f t="shared" si="25"/>
        <v>3003</v>
      </c>
      <c r="I23" s="424">
        <f t="shared" si="25"/>
        <v>3003</v>
      </c>
      <c r="J23" s="424">
        <f t="shared" si="25"/>
        <v>3003</v>
      </c>
      <c r="K23" s="424">
        <f t="shared" si="25"/>
        <v>3003</v>
      </c>
      <c r="L23" s="424">
        <f t="shared" si="25"/>
        <v>3003</v>
      </c>
      <c r="M23" s="424">
        <f t="shared" si="25"/>
        <v>3003</v>
      </c>
      <c r="N23" s="424">
        <f t="shared" si="25"/>
        <v>3003</v>
      </c>
      <c r="O23" s="424">
        <f t="shared" si="25"/>
        <v>3003</v>
      </c>
      <c r="P23" s="424">
        <f t="shared" si="25"/>
        <v>3003</v>
      </c>
      <c r="Q23" s="424">
        <f t="shared" si="25"/>
        <v>3033</v>
      </c>
      <c r="R23" s="424">
        <f t="shared" si="25"/>
        <v>3062</v>
      </c>
      <c r="V23" s="424" t="s">
        <v>148</v>
      </c>
      <c r="W23" s="424" t="s">
        <v>144</v>
      </c>
      <c r="X23" s="424">
        <v>0</v>
      </c>
      <c r="Y23" s="424">
        <v>0</v>
      </c>
      <c r="Z23" s="424">
        <v>0</v>
      </c>
      <c r="AA23" s="424">
        <v>0</v>
      </c>
      <c r="AB23" s="424">
        <v>0</v>
      </c>
      <c r="AC23" s="424">
        <v>0</v>
      </c>
      <c r="AD23" s="424">
        <v>0</v>
      </c>
      <c r="AE23" s="424">
        <v>0</v>
      </c>
      <c r="AF23" s="424">
        <v>0</v>
      </c>
      <c r="AG23" s="424">
        <v>0</v>
      </c>
      <c r="AH23" s="424">
        <v>0</v>
      </c>
      <c r="AI23" s="424">
        <v>0</v>
      </c>
      <c r="AJ23" s="424">
        <v>0</v>
      </c>
      <c r="AK23" s="424">
        <v>0</v>
      </c>
      <c r="AL23" s="424">
        <v>0</v>
      </c>
      <c r="AM23" s="424">
        <v>0</v>
      </c>
      <c r="AN23" s="424" t="s">
        <v>148</v>
      </c>
      <c r="AO23" s="424" t="s">
        <v>144</v>
      </c>
      <c r="AP23" s="424">
        <f t="shared" ref="AP23:BE23" si="26">1-AP13</f>
        <v>0</v>
      </c>
      <c r="AQ23" s="424">
        <f t="shared" si="26"/>
        <v>0</v>
      </c>
      <c r="AR23" s="424">
        <f t="shared" si="26"/>
        <v>0</v>
      </c>
      <c r="AS23" s="424">
        <f t="shared" si="26"/>
        <v>0</v>
      </c>
      <c r="AT23" s="424">
        <f t="shared" si="26"/>
        <v>0</v>
      </c>
      <c r="AU23" s="424">
        <f t="shared" si="26"/>
        <v>0</v>
      </c>
      <c r="AV23" s="424">
        <f t="shared" si="26"/>
        <v>0</v>
      </c>
      <c r="AW23" s="424">
        <f t="shared" si="26"/>
        <v>0</v>
      </c>
      <c r="AX23" s="424">
        <f t="shared" si="26"/>
        <v>0</v>
      </c>
      <c r="AY23" s="424">
        <f t="shared" si="26"/>
        <v>0</v>
      </c>
      <c r="AZ23" s="424">
        <f t="shared" si="26"/>
        <v>0</v>
      </c>
      <c r="BA23" s="424">
        <f t="shared" si="26"/>
        <v>0</v>
      </c>
      <c r="BB23" s="424">
        <f t="shared" si="26"/>
        <v>0</v>
      </c>
      <c r="BC23" s="424">
        <f t="shared" si="26"/>
        <v>0</v>
      </c>
      <c r="BD23" s="424">
        <f t="shared" si="26"/>
        <v>0</v>
      </c>
      <c r="BE23" s="424">
        <f t="shared" si="26"/>
        <v>0.5</v>
      </c>
    </row>
    <row r="24" spans="1:57">
      <c r="A24" s="450" t="s">
        <v>147</v>
      </c>
      <c r="B24" s="424">
        <v>1</v>
      </c>
      <c r="C24" s="424">
        <f t="shared" ref="C24:R24" si="27">ROUND((($U$2*X$13)+($V$2*X$23)+($U$2*AP$13)+($V$2*AP$23)+($W$2*(1-(AP$13+AP$23)))+($W$2*(0-(X$13+X$23))))*$AO$5,0)</f>
        <v>1487</v>
      </c>
      <c r="D24" s="424">
        <f t="shared" si="27"/>
        <v>1487</v>
      </c>
      <c r="E24" s="424">
        <f t="shared" si="27"/>
        <v>1487</v>
      </c>
      <c r="F24" s="424">
        <f t="shared" si="27"/>
        <v>1487</v>
      </c>
      <c r="G24" s="424">
        <f t="shared" si="27"/>
        <v>1487</v>
      </c>
      <c r="H24" s="424">
        <f t="shared" si="27"/>
        <v>1487</v>
      </c>
      <c r="I24" s="424">
        <f t="shared" si="27"/>
        <v>1487</v>
      </c>
      <c r="J24" s="424">
        <f t="shared" si="27"/>
        <v>1487</v>
      </c>
      <c r="K24" s="424">
        <f t="shared" si="27"/>
        <v>1487</v>
      </c>
      <c r="L24" s="424">
        <f t="shared" si="27"/>
        <v>1487</v>
      </c>
      <c r="M24" s="424">
        <f t="shared" si="27"/>
        <v>1487</v>
      </c>
      <c r="N24" s="424">
        <f t="shared" si="27"/>
        <v>1487</v>
      </c>
      <c r="O24" s="424">
        <f t="shared" si="27"/>
        <v>1487</v>
      </c>
      <c r="P24" s="424">
        <f t="shared" si="27"/>
        <v>1487</v>
      </c>
      <c r="Q24" s="424">
        <f t="shared" si="27"/>
        <v>1487</v>
      </c>
      <c r="R24" s="424">
        <f t="shared" si="27"/>
        <v>1516</v>
      </c>
    </row>
    <row r="26" spans="1:57" ht="18.75" thickBot="1">
      <c r="A26" s="426" t="s">
        <v>150</v>
      </c>
      <c r="B26" s="427"/>
      <c r="C26" s="427"/>
      <c r="D26" s="427"/>
      <c r="E26" s="427"/>
      <c r="F26" s="427"/>
      <c r="G26" s="427"/>
      <c r="H26" s="427"/>
      <c r="I26" s="427"/>
      <c r="J26" s="427"/>
      <c r="K26" s="427"/>
      <c r="L26" s="427"/>
      <c r="M26" s="427"/>
      <c r="N26" s="427"/>
      <c r="O26" s="427"/>
      <c r="P26" s="427"/>
      <c r="Q26" s="427"/>
      <c r="R26" s="427"/>
      <c r="U26" s="425"/>
      <c r="W26" s="424" t="s">
        <v>346</v>
      </c>
      <c r="X26" s="454" t="s">
        <v>151</v>
      </c>
      <c r="Y26" s="448"/>
      <c r="Z26" s="455"/>
      <c r="AB26" s="454" t="s">
        <v>152</v>
      </c>
      <c r="AC26" s="448"/>
      <c r="AD26" s="455"/>
      <c r="AF26" s="456" t="s">
        <v>153</v>
      </c>
      <c r="AG26" s="457"/>
      <c r="AH26" s="455"/>
    </row>
    <row r="27" spans="1:57" ht="18.75">
      <c r="A27" s="458" t="s">
        <v>154</v>
      </c>
      <c r="B27" s="459">
        <f>'[1]GRA 26-60 Matrices'!B99</f>
        <v>7.0000000000000007E-2</v>
      </c>
      <c r="C27" s="424" t="s">
        <v>155</v>
      </c>
      <c r="E27" s="460" t="str">
        <f>'[1]GRA 26-60 Matrices'!E99</f>
        <v>*Please note the 7% QTR inflation is recommended</v>
      </c>
      <c r="W27" s="424" t="s">
        <v>332</v>
      </c>
      <c r="X27" s="461">
        <f>'[1]GRA 26-60 Matrices'!X88</f>
        <v>10544</v>
      </c>
      <c r="Y27" s="462">
        <f>'[1]GRA 26-60 Matrices'!Y88</f>
        <v>11282</v>
      </c>
      <c r="Z27" s="463">
        <f>'[1]GRA 26-60 Matrices'!Z88</f>
        <v>12072</v>
      </c>
      <c r="AB27" s="461">
        <f>'[1]GRA 26-60 Matrices'!AB88</f>
        <v>23976</v>
      </c>
      <c r="AC27" s="462">
        <f>'[1]GRA 26-60 Matrices'!AC88</f>
        <v>25654</v>
      </c>
      <c r="AD27" s="463">
        <f>'[1]GRA 26-60 Matrices'!AD88</f>
        <v>27450</v>
      </c>
      <c r="AF27" s="464">
        <f>'[1]GRA 26-60 Matrices'!AF88</f>
        <v>2022</v>
      </c>
      <c r="AG27" s="442">
        <f>'[1]GRA 26-60 Matrices'!AG88</f>
        <v>2103</v>
      </c>
      <c r="AH27" s="463">
        <f>'[1]GRA 26-60 Matrices'!AH88</f>
        <v>2187</v>
      </c>
    </row>
    <row r="28" spans="1:57">
      <c r="W28" s="425" t="s">
        <v>333</v>
      </c>
      <c r="X28" s="465">
        <f>'[1]GRA 26-60 Matrices'!X89</f>
        <v>1449</v>
      </c>
      <c r="Y28" s="466">
        <f>'[1]GRA 26-60 Matrices'!Y89</f>
        <v>1550.43</v>
      </c>
      <c r="Z28" s="467">
        <v>0</v>
      </c>
      <c r="AB28" s="465">
        <f>X28+30</f>
        <v>1479</v>
      </c>
      <c r="AC28" s="466">
        <f>'[1]GRA 26-60 Matrices'!AC89</f>
        <v>1550.43</v>
      </c>
      <c r="AD28" s="467">
        <v>0</v>
      </c>
      <c r="AF28" s="468"/>
      <c r="AG28" s="469"/>
      <c r="AH28" s="467"/>
    </row>
    <row r="29" spans="1:57" ht="15.75">
      <c r="A29" s="435" t="s">
        <v>156</v>
      </c>
    </row>
    <row r="30" spans="1:57">
      <c r="B30" s="436" t="s">
        <v>128</v>
      </c>
      <c r="W30" s="227"/>
      <c r="X30" s="227"/>
    </row>
    <row r="31" spans="1:57">
      <c r="A31" s="442"/>
      <c r="B31" s="443" t="s">
        <v>132</v>
      </c>
      <c r="C31" s="444">
        <f t="shared" ref="C31:R31" si="28">+C17</f>
        <v>40359</v>
      </c>
      <c r="D31" s="444">
        <f t="shared" si="28"/>
        <v>40374</v>
      </c>
      <c r="E31" s="444">
        <f t="shared" si="28"/>
        <v>40390</v>
      </c>
      <c r="F31" s="444">
        <f t="shared" si="28"/>
        <v>40405</v>
      </c>
      <c r="G31" s="444">
        <f t="shared" si="28"/>
        <v>40421</v>
      </c>
      <c r="H31" s="444">
        <f t="shared" si="28"/>
        <v>40451</v>
      </c>
      <c r="I31" s="444">
        <f t="shared" si="28"/>
        <v>40482</v>
      </c>
      <c r="J31" s="444">
        <f t="shared" si="28"/>
        <v>40512</v>
      </c>
      <c r="K31" s="444">
        <f t="shared" si="28"/>
        <v>40543</v>
      </c>
      <c r="L31" s="444">
        <f t="shared" si="28"/>
        <v>40574</v>
      </c>
      <c r="M31" s="444">
        <f t="shared" si="28"/>
        <v>40602</v>
      </c>
      <c r="N31" s="444">
        <f t="shared" si="28"/>
        <v>40633</v>
      </c>
      <c r="O31" s="444">
        <f t="shared" si="28"/>
        <v>40663</v>
      </c>
      <c r="P31" s="444">
        <f t="shared" si="28"/>
        <v>40678</v>
      </c>
      <c r="Q31" s="444">
        <f t="shared" si="28"/>
        <v>40694</v>
      </c>
      <c r="R31" s="444">
        <f t="shared" si="28"/>
        <v>40709</v>
      </c>
      <c r="V31" s="437"/>
      <c r="W31" s="438"/>
      <c r="X31" s="227"/>
      <c r="Y31" s="447"/>
      <c r="Z31" s="447"/>
      <c r="AA31" s="447"/>
      <c r="AB31" s="447"/>
      <c r="AC31" s="447"/>
      <c r="AD31" s="447"/>
      <c r="AE31" s="447"/>
      <c r="AF31" s="447"/>
      <c r="AG31" s="447"/>
      <c r="AH31" s="447"/>
      <c r="AI31" s="447"/>
      <c r="AJ31" s="447"/>
      <c r="AK31" s="447"/>
      <c r="AL31" s="447"/>
      <c r="AM31" s="447"/>
      <c r="AO31" s="470"/>
      <c r="AP31" s="470"/>
    </row>
    <row r="32" spans="1:57">
      <c r="V32" s="448"/>
      <c r="W32" s="446"/>
      <c r="X32" s="452">
        <f t="shared" ref="X32:AM32" si="29">+C31</f>
        <v>40359</v>
      </c>
      <c r="Y32" s="447">
        <f t="shared" si="29"/>
        <v>40374</v>
      </c>
      <c r="Z32" s="447">
        <f t="shared" si="29"/>
        <v>40390</v>
      </c>
      <c r="AA32" s="447">
        <f t="shared" si="29"/>
        <v>40405</v>
      </c>
      <c r="AB32" s="447">
        <f t="shared" si="29"/>
        <v>40421</v>
      </c>
      <c r="AC32" s="447">
        <f t="shared" si="29"/>
        <v>40451</v>
      </c>
      <c r="AD32" s="447">
        <f t="shared" si="29"/>
        <v>40482</v>
      </c>
      <c r="AE32" s="447">
        <f t="shared" si="29"/>
        <v>40512</v>
      </c>
      <c r="AF32" s="447">
        <f t="shared" si="29"/>
        <v>40543</v>
      </c>
      <c r="AG32" s="447">
        <f t="shared" si="29"/>
        <v>40574</v>
      </c>
      <c r="AH32" s="447">
        <f t="shared" si="29"/>
        <v>40602</v>
      </c>
      <c r="AI32" s="447">
        <f t="shared" si="29"/>
        <v>40633</v>
      </c>
      <c r="AJ32" s="447">
        <f t="shared" si="29"/>
        <v>40663</v>
      </c>
      <c r="AK32" s="447">
        <f t="shared" si="29"/>
        <v>40678</v>
      </c>
      <c r="AL32" s="447">
        <f t="shared" si="29"/>
        <v>40694</v>
      </c>
      <c r="AM32" s="447">
        <f t="shared" si="29"/>
        <v>40709</v>
      </c>
      <c r="AN32" s="453"/>
      <c r="AP32" s="452">
        <f t="shared" ref="AP32:BE32" si="30">+X32</f>
        <v>40359</v>
      </c>
      <c r="AQ32" s="452">
        <f t="shared" si="30"/>
        <v>40374</v>
      </c>
      <c r="AR32" s="452">
        <f t="shared" si="30"/>
        <v>40390</v>
      </c>
      <c r="AS32" s="452">
        <f t="shared" si="30"/>
        <v>40405</v>
      </c>
      <c r="AT32" s="452">
        <f t="shared" si="30"/>
        <v>40421</v>
      </c>
      <c r="AU32" s="452">
        <f t="shared" si="30"/>
        <v>40451</v>
      </c>
      <c r="AV32" s="452">
        <f t="shared" si="30"/>
        <v>40482</v>
      </c>
      <c r="AW32" s="452">
        <f t="shared" si="30"/>
        <v>40512</v>
      </c>
      <c r="AX32" s="452">
        <f t="shared" si="30"/>
        <v>40543</v>
      </c>
      <c r="AY32" s="452">
        <f t="shared" si="30"/>
        <v>40574</v>
      </c>
      <c r="AZ32" s="452">
        <f t="shared" si="30"/>
        <v>40602</v>
      </c>
      <c r="BA32" s="452">
        <f t="shared" si="30"/>
        <v>40633</v>
      </c>
      <c r="BB32" s="452">
        <f t="shared" si="30"/>
        <v>40663</v>
      </c>
      <c r="BC32" s="452">
        <f t="shared" si="30"/>
        <v>40678</v>
      </c>
      <c r="BD32" s="452">
        <f t="shared" si="30"/>
        <v>40694</v>
      </c>
      <c r="BE32" s="452">
        <f t="shared" si="30"/>
        <v>40709</v>
      </c>
    </row>
    <row r="33" spans="1:57">
      <c r="A33" s="450" t="s">
        <v>157</v>
      </c>
      <c r="B33" s="424">
        <v>12</v>
      </c>
      <c r="C33" s="424">
        <f>ROUND((($X$27*(X33/9))+($Y$27*(X41/9))+($Z$27*(X49/9))+($X$28*AP33)+($X$28*AP41)*1),0)</f>
        <v>11993</v>
      </c>
      <c r="D33" s="424">
        <f>ROUND((($X$27*(Y33/9))+($Y$27*(Y41/9))+($Z$27*(Y49/9))+($X$28*AQ33)+($X$28*AQ41)*1),0)</f>
        <v>11993</v>
      </c>
      <c r="E33" s="424">
        <f t="shared" ref="C33:E34" si="31">ROUND((($X$27*(Z33/9))+($Y$27*(Z41/9))+($Z$27*(Z49/9))+($X$28*AR33)+($X$28*AR41)*1),0)</f>
        <v>11993</v>
      </c>
      <c r="F33" s="424">
        <f t="shared" ref="F33:R37" si="32">ROUND((($X$27*(AA33/9))+($Y$27*(AA41/9))+($Z$27*(AA49/9))+($X$28*AS33)+($Y$28*AS41)*1),0)</f>
        <v>12094</v>
      </c>
      <c r="G33" s="424">
        <f t="shared" si="32"/>
        <v>12135</v>
      </c>
      <c r="H33" s="424">
        <f t="shared" si="32"/>
        <v>12217</v>
      </c>
      <c r="I33" s="424">
        <f t="shared" si="32"/>
        <v>12299</v>
      </c>
      <c r="J33" s="424">
        <f t="shared" si="32"/>
        <v>12381</v>
      </c>
      <c r="K33" s="424">
        <f t="shared" si="32"/>
        <v>12463</v>
      </c>
      <c r="L33" s="424">
        <f t="shared" si="32"/>
        <v>12545</v>
      </c>
      <c r="M33" s="424">
        <f t="shared" si="32"/>
        <v>12627</v>
      </c>
      <c r="N33" s="424">
        <f t="shared" si="32"/>
        <v>12709</v>
      </c>
      <c r="O33" s="424">
        <f t="shared" si="32"/>
        <v>12791</v>
      </c>
      <c r="P33" s="424">
        <f t="shared" si="32"/>
        <v>12832</v>
      </c>
      <c r="Q33" s="424">
        <f t="shared" si="32"/>
        <v>12832</v>
      </c>
      <c r="R33" s="424">
        <f t="shared" si="32"/>
        <v>12832</v>
      </c>
      <c r="V33" s="424" t="s">
        <v>86</v>
      </c>
      <c r="W33" s="424" t="s">
        <v>134</v>
      </c>
      <c r="X33" s="424">
        <v>9</v>
      </c>
      <c r="Y33" s="424">
        <v>9</v>
      </c>
      <c r="Z33" s="424">
        <v>9</v>
      </c>
      <c r="AA33" s="424">
        <v>9</v>
      </c>
      <c r="AB33" s="424">
        <v>8.5</v>
      </c>
      <c r="AC33" s="424">
        <v>7.5</v>
      </c>
      <c r="AD33" s="424">
        <v>6.5</v>
      </c>
      <c r="AE33" s="424">
        <v>5.5</v>
      </c>
      <c r="AF33" s="424">
        <v>4.5</v>
      </c>
      <c r="AG33" s="424">
        <v>3.5</v>
      </c>
      <c r="AH33" s="424">
        <v>2.5</v>
      </c>
      <c r="AI33" s="424">
        <v>1.5</v>
      </c>
      <c r="AJ33" s="424">
        <v>0.5</v>
      </c>
      <c r="AK33" s="424">
        <v>0</v>
      </c>
      <c r="AL33" s="424">
        <v>0</v>
      </c>
      <c r="AM33" s="424">
        <v>0</v>
      </c>
      <c r="AN33" s="424" t="s">
        <v>86</v>
      </c>
      <c r="AO33" s="424" t="s">
        <v>135</v>
      </c>
      <c r="AP33" s="424">
        <v>0</v>
      </c>
      <c r="AQ33" s="424">
        <v>0</v>
      </c>
      <c r="AR33" s="424">
        <v>0</v>
      </c>
      <c r="AS33" s="424">
        <v>0</v>
      </c>
      <c r="AT33" s="424">
        <v>0</v>
      </c>
      <c r="AU33" s="424">
        <v>0</v>
      </c>
      <c r="AV33" s="424">
        <v>0</v>
      </c>
      <c r="AW33" s="424">
        <v>0</v>
      </c>
      <c r="AX33" s="424">
        <v>0</v>
      </c>
      <c r="AY33" s="424">
        <v>0</v>
      </c>
      <c r="AZ33" s="424">
        <v>0</v>
      </c>
      <c r="BA33" s="424">
        <v>0</v>
      </c>
      <c r="BB33" s="424">
        <v>0</v>
      </c>
      <c r="BC33" s="424">
        <v>0</v>
      </c>
      <c r="BD33" s="424">
        <v>0</v>
      </c>
      <c r="BE33" s="424">
        <v>0</v>
      </c>
    </row>
    <row r="34" spans="1:57">
      <c r="A34" s="450" t="s">
        <v>157</v>
      </c>
      <c r="B34" s="424">
        <v>11</v>
      </c>
      <c r="C34" s="424">
        <f t="shared" si="31"/>
        <v>11993</v>
      </c>
      <c r="D34" s="424">
        <f t="shared" si="31"/>
        <v>11993</v>
      </c>
      <c r="E34" s="424">
        <f t="shared" si="31"/>
        <v>11993</v>
      </c>
      <c r="F34" s="424">
        <f t="shared" si="32"/>
        <v>12094</v>
      </c>
      <c r="G34" s="424">
        <f t="shared" si="32"/>
        <v>12135</v>
      </c>
      <c r="H34" s="424">
        <f t="shared" si="32"/>
        <v>12217</v>
      </c>
      <c r="I34" s="424">
        <f t="shared" si="32"/>
        <v>12299</v>
      </c>
      <c r="J34" s="424">
        <f t="shared" si="32"/>
        <v>12381</v>
      </c>
      <c r="K34" s="424">
        <f t="shared" si="32"/>
        <v>12463</v>
      </c>
      <c r="L34" s="424">
        <f t="shared" si="32"/>
        <v>12545</v>
      </c>
      <c r="M34" s="424">
        <f t="shared" si="32"/>
        <v>12627</v>
      </c>
      <c r="N34" s="424">
        <f t="shared" si="32"/>
        <v>12709</v>
      </c>
      <c r="O34" s="424">
        <f t="shared" si="32"/>
        <v>12791</v>
      </c>
      <c r="P34" s="424">
        <f t="shared" si="32"/>
        <v>12832</v>
      </c>
      <c r="Q34" s="424">
        <f t="shared" si="32"/>
        <v>12832</v>
      </c>
      <c r="R34" s="424">
        <f t="shared" si="32"/>
        <v>12832</v>
      </c>
      <c r="V34" s="424" t="s">
        <v>138</v>
      </c>
      <c r="W34" s="424" t="s">
        <v>139</v>
      </c>
      <c r="X34" s="424">
        <v>9</v>
      </c>
      <c r="Y34" s="424">
        <v>9</v>
      </c>
      <c r="Z34" s="424">
        <v>9</v>
      </c>
      <c r="AA34" s="424">
        <v>9</v>
      </c>
      <c r="AB34" s="424">
        <v>8.5</v>
      </c>
      <c r="AC34" s="424">
        <v>7.5</v>
      </c>
      <c r="AD34" s="424">
        <v>6.5</v>
      </c>
      <c r="AE34" s="424">
        <v>5.5</v>
      </c>
      <c r="AF34" s="424">
        <v>4.5</v>
      </c>
      <c r="AG34" s="424">
        <v>3.5</v>
      </c>
      <c r="AH34" s="424">
        <v>2.5</v>
      </c>
      <c r="AI34" s="424">
        <v>1.5</v>
      </c>
      <c r="AJ34" s="424">
        <v>0.5</v>
      </c>
      <c r="AK34" s="424">
        <v>0</v>
      </c>
      <c r="AL34" s="424">
        <v>0</v>
      </c>
      <c r="AM34" s="424">
        <v>0</v>
      </c>
      <c r="AN34" s="424" t="s">
        <v>138</v>
      </c>
      <c r="AO34" s="424" t="s">
        <v>135</v>
      </c>
      <c r="AP34" s="424">
        <v>0</v>
      </c>
      <c r="AQ34" s="424">
        <v>0</v>
      </c>
      <c r="AR34" s="424">
        <v>0</v>
      </c>
      <c r="AS34" s="424">
        <v>0</v>
      </c>
      <c r="AT34" s="424">
        <v>0</v>
      </c>
      <c r="AU34" s="424">
        <v>0</v>
      </c>
      <c r="AV34" s="424">
        <v>0</v>
      </c>
      <c r="AW34" s="424">
        <v>0</v>
      </c>
      <c r="AX34" s="424">
        <v>0</v>
      </c>
      <c r="AY34" s="424">
        <v>0</v>
      </c>
      <c r="AZ34" s="424">
        <v>0</v>
      </c>
      <c r="BA34" s="424">
        <v>0</v>
      </c>
      <c r="BB34" s="424">
        <v>0</v>
      </c>
      <c r="BC34" s="424">
        <v>0</v>
      </c>
      <c r="BD34" s="424">
        <v>0</v>
      </c>
      <c r="BE34" s="424">
        <v>0</v>
      </c>
    </row>
    <row r="35" spans="1:57">
      <c r="A35" s="450" t="s">
        <v>158</v>
      </c>
      <c r="B35" s="424">
        <v>10</v>
      </c>
      <c r="C35" s="424">
        <f t="shared" ref="C35:E37" si="33">ROUND((($X$27*(X35/9))+($Y$27*(X43/9))+($Z$27*(X51/9))+($X$28*AP35)+($Y$28*AP43)*1),0)</f>
        <v>10544</v>
      </c>
      <c r="D35" s="424">
        <f t="shared" si="33"/>
        <v>10544</v>
      </c>
      <c r="E35" s="424">
        <f t="shared" si="33"/>
        <v>10544</v>
      </c>
      <c r="F35" s="424">
        <f t="shared" si="32"/>
        <v>10544</v>
      </c>
      <c r="G35" s="424">
        <f t="shared" si="32"/>
        <v>10585</v>
      </c>
      <c r="H35" s="424">
        <f t="shared" si="32"/>
        <v>10667</v>
      </c>
      <c r="I35" s="424">
        <f t="shared" si="32"/>
        <v>10749</v>
      </c>
      <c r="J35" s="424">
        <f t="shared" si="32"/>
        <v>10831</v>
      </c>
      <c r="K35" s="424">
        <f t="shared" si="32"/>
        <v>10913</v>
      </c>
      <c r="L35" s="424">
        <f t="shared" si="32"/>
        <v>10995</v>
      </c>
      <c r="M35" s="424">
        <f t="shared" si="32"/>
        <v>11077</v>
      </c>
      <c r="N35" s="424">
        <f t="shared" si="32"/>
        <v>11159</v>
      </c>
      <c r="O35" s="424">
        <f t="shared" si="32"/>
        <v>11241</v>
      </c>
      <c r="P35" s="424">
        <f t="shared" si="32"/>
        <v>11282</v>
      </c>
      <c r="Q35" s="424">
        <f t="shared" si="32"/>
        <v>11282</v>
      </c>
      <c r="R35" s="424">
        <f t="shared" si="32"/>
        <v>11282</v>
      </c>
      <c r="V35" s="424" t="s">
        <v>85</v>
      </c>
      <c r="W35" s="424" t="s">
        <v>139</v>
      </c>
      <c r="X35" s="424">
        <v>9</v>
      </c>
      <c r="Y35" s="424">
        <v>9</v>
      </c>
      <c r="Z35" s="424">
        <v>9</v>
      </c>
      <c r="AA35" s="424">
        <v>9</v>
      </c>
      <c r="AB35" s="424">
        <v>8.5</v>
      </c>
      <c r="AC35" s="424">
        <v>7.5</v>
      </c>
      <c r="AD35" s="424">
        <v>6.5</v>
      </c>
      <c r="AE35" s="424">
        <v>5.5</v>
      </c>
      <c r="AF35" s="424">
        <v>4.5</v>
      </c>
      <c r="AG35" s="424">
        <v>3.5</v>
      </c>
      <c r="AH35" s="424">
        <v>2.5</v>
      </c>
      <c r="AI35" s="424">
        <v>1.5</v>
      </c>
      <c r="AJ35" s="424">
        <v>0.5</v>
      </c>
      <c r="AK35" s="424">
        <v>0</v>
      </c>
      <c r="AL35" s="424">
        <v>0</v>
      </c>
      <c r="AM35" s="424">
        <v>0</v>
      </c>
      <c r="AN35" s="424" t="s">
        <v>85</v>
      </c>
      <c r="AO35" s="424" t="s">
        <v>135</v>
      </c>
      <c r="AP35" s="424">
        <v>0</v>
      </c>
      <c r="AQ35" s="424">
        <v>0</v>
      </c>
      <c r="AR35" s="424">
        <v>0</v>
      </c>
      <c r="AS35" s="424">
        <v>0</v>
      </c>
      <c r="AT35" s="424">
        <v>0</v>
      </c>
      <c r="AU35" s="424">
        <v>0</v>
      </c>
      <c r="AV35" s="424">
        <v>0</v>
      </c>
      <c r="AW35" s="424">
        <v>0</v>
      </c>
      <c r="AX35" s="424">
        <v>0</v>
      </c>
      <c r="AY35" s="424">
        <v>0</v>
      </c>
      <c r="AZ35" s="424">
        <v>0</v>
      </c>
      <c r="BA35" s="424">
        <v>0</v>
      </c>
      <c r="BB35" s="424">
        <v>0</v>
      </c>
      <c r="BC35" s="424">
        <v>0</v>
      </c>
      <c r="BD35" s="424">
        <v>0</v>
      </c>
      <c r="BE35" s="424">
        <v>0</v>
      </c>
    </row>
    <row r="36" spans="1:57">
      <c r="A36" s="450" t="s">
        <v>158</v>
      </c>
      <c r="B36" s="424">
        <v>9</v>
      </c>
      <c r="C36" s="424">
        <f>ROUND((($X$27*(X36/9))+($Y$27*(X44/9))+($Z$27*(X52/9))+($X$28*AP36)+($Y$28*AP44)*1),0)</f>
        <v>10544</v>
      </c>
      <c r="D36" s="424">
        <f t="shared" si="33"/>
        <v>10544</v>
      </c>
      <c r="E36" s="424">
        <f t="shared" si="33"/>
        <v>10544</v>
      </c>
      <c r="F36" s="424">
        <f t="shared" si="32"/>
        <v>10544</v>
      </c>
      <c r="G36" s="424">
        <f t="shared" si="32"/>
        <v>10585</v>
      </c>
      <c r="H36" s="424">
        <f t="shared" si="32"/>
        <v>10667</v>
      </c>
      <c r="I36" s="424">
        <f t="shared" si="32"/>
        <v>10749</v>
      </c>
      <c r="J36" s="424">
        <f t="shared" si="32"/>
        <v>10831</v>
      </c>
      <c r="K36" s="424">
        <f t="shared" si="32"/>
        <v>10913</v>
      </c>
      <c r="L36" s="424">
        <f t="shared" si="32"/>
        <v>10995</v>
      </c>
      <c r="M36" s="424">
        <f t="shared" si="32"/>
        <v>11077</v>
      </c>
      <c r="N36" s="424">
        <f t="shared" si="32"/>
        <v>11159</v>
      </c>
      <c r="O36" s="424">
        <f t="shared" si="32"/>
        <v>11241</v>
      </c>
      <c r="P36" s="424">
        <f t="shared" si="32"/>
        <v>11282</v>
      </c>
      <c r="Q36" s="424">
        <f t="shared" si="32"/>
        <v>11282</v>
      </c>
      <c r="R36" s="424">
        <f t="shared" si="32"/>
        <v>11282</v>
      </c>
      <c r="V36" s="424" t="s">
        <v>84</v>
      </c>
      <c r="W36" s="424" t="s">
        <v>139</v>
      </c>
      <c r="X36" s="424">
        <v>9</v>
      </c>
      <c r="Y36" s="424">
        <v>9</v>
      </c>
      <c r="Z36" s="424">
        <v>9</v>
      </c>
      <c r="AA36" s="424">
        <v>9</v>
      </c>
      <c r="AB36" s="424">
        <v>8.5</v>
      </c>
      <c r="AC36" s="424">
        <v>7.5</v>
      </c>
      <c r="AD36" s="424">
        <v>6.5</v>
      </c>
      <c r="AE36" s="424">
        <v>5.5</v>
      </c>
      <c r="AF36" s="424">
        <v>4.5</v>
      </c>
      <c r="AG36" s="424">
        <v>3.5</v>
      </c>
      <c r="AH36" s="424">
        <v>2.5</v>
      </c>
      <c r="AI36" s="424">
        <v>1.5</v>
      </c>
      <c r="AJ36" s="424">
        <v>0.5</v>
      </c>
      <c r="AK36" s="424">
        <v>0</v>
      </c>
      <c r="AL36" s="424">
        <v>0</v>
      </c>
      <c r="AM36" s="424">
        <v>0</v>
      </c>
      <c r="AN36" s="424" t="s">
        <v>84</v>
      </c>
      <c r="AO36" s="424" t="s">
        <v>135</v>
      </c>
      <c r="AP36" s="424">
        <v>0</v>
      </c>
      <c r="AQ36" s="424">
        <v>0</v>
      </c>
      <c r="AR36" s="424">
        <v>0</v>
      </c>
      <c r="AS36" s="424">
        <v>0</v>
      </c>
      <c r="AT36" s="424">
        <v>0</v>
      </c>
      <c r="AU36" s="424">
        <v>0</v>
      </c>
      <c r="AV36" s="424">
        <v>0</v>
      </c>
      <c r="AW36" s="424">
        <v>0</v>
      </c>
      <c r="AX36" s="424">
        <v>0</v>
      </c>
      <c r="AY36" s="424">
        <v>0</v>
      </c>
      <c r="AZ36" s="424">
        <v>0</v>
      </c>
      <c r="BA36" s="424">
        <v>0</v>
      </c>
      <c r="BB36" s="424">
        <v>0</v>
      </c>
      <c r="BC36" s="424">
        <v>0</v>
      </c>
      <c r="BD36" s="424">
        <v>0</v>
      </c>
      <c r="BE36" s="424">
        <v>0</v>
      </c>
    </row>
    <row r="37" spans="1:57">
      <c r="A37" s="450" t="s">
        <v>159</v>
      </c>
      <c r="B37" s="471" t="s">
        <v>160</v>
      </c>
      <c r="C37" s="424">
        <f t="shared" si="33"/>
        <v>1449</v>
      </c>
      <c r="D37" s="424">
        <f t="shared" si="33"/>
        <v>1449</v>
      </c>
      <c r="E37" s="424">
        <f t="shared" si="33"/>
        <v>1449</v>
      </c>
      <c r="F37" s="424">
        <f t="shared" si="32"/>
        <v>1550</v>
      </c>
      <c r="G37" s="424">
        <f t="shared" si="32"/>
        <v>1550</v>
      </c>
      <c r="H37" s="424">
        <f t="shared" si="32"/>
        <v>1550</v>
      </c>
      <c r="I37" s="424">
        <f t="shared" si="32"/>
        <v>1550</v>
      </c>
      <c r="J37" s="424">
        <f t="shared" si="32"/>
        <v>1550</v>
      </c>
      <c r="K37" s="424">
        <f t="shared" si="32"/>
        <v>1550</v>
      </c>
      <c r="L37" s="424">
        <f t="shared" si="32"/>
        <v>1550</v>
      </c>
      <c r="M37" s="424">
        <f t="shared" si="32"/>
        <v>1550</v>
      </c>
      <c r="N37" s="424">
        <f t="shared" si="32"/>
        <v>1550</v>
      </c>
      <c r="O37" s="424">
        <f t="shared" si="32"/>
        <v>1550</v>
      </c>
      <c r="P37" s="424">
        <f t="shared" si="32"/>
        <v>1550</v>
      </c>
      <c r="Q37" s="424">
        <f t="shared" si="32"/>
        <v>1550</v>
      </c>
      <c r="R37" s="424">
        <f t="shared" si="32"/>
        <v>1550</v>
      </c>
      <c r="V37" s="424" t="s">
        <v>81</v>
      </c>
      <c r="W37" s="424" t="s">
        <v>135</v>
      </c>
      <c r="X37" s="424">
        <v>0</v>
      </c>
      <c r="Y37" s="424">
        <v>0</v>
      </c>
      <c r="Z37" s="424">
        <v>0</v>
      </c>
      <c r="AA37" s="424">
        <v>0</v>
      </c>
      <c r="AB37" s="424">
        <v>0</v>
      </c>
      <c r="AC37" s="424">
        <v>0</v>
      </c>
      <c r="AD37" s="424">
        <v>0</v>
      </c>
      <c r="AE37" s="424">
        <v>0</v>
      </c>
      <c r="AF37" s="424">
        <v>0</v>
      </c>
      <c r="AG37" s="424">
        <v>0</v>
      </c>
      <c r="AH37" s="424">
        <v>0</v>
      </c>
      <c r="AI37" s="424">
        <v>0</v>
      </c>
      <c r="AJ37" s="424">
        <v>0</v>
      </c>
      <c r="AK37" s="424">
        <v>0</v>
      </c>
      <c r="AL37" s="424">
        <v>0</v>
      </c>
      <c r="AM37" s="424">
        <v>0</v>
      </c>
      <c r="AN37" s="424" t="s">
        <v>81</v>
      </c>
      <c r="AO37" s="424" t="s">
        <v>161</v>
      </c>
      <c r="AP37" s="424">
        <v>1</v>
      </c>
      <c r="AQ37" s="424">
        <v>1</v>
      </c>
      <c r="AR37" s="424">
        <v>1</v>
      </c>
      <c r="AS37" s="424">
        <v>0</v>
      </c>
      <c r="AT37" s="424">
        <v>0</v>
      </c>
      <c r="AU37" s="424">
        <v>0</v>
      </c>
      <c r="AV37" s="424">
        <v>0</v>
      </c>
      <c r="AW37" s="424">
        <v>0</v>
      </c>
      <c r="AX37" s="424">
        <v>0</v>
      </c>
      <c r="AY37" s="424">
        <v>0</v>
      </c>
      <c r="AZ37" s="424">
        <v>0</v>
      </c>
      <c r="BA37" s="424">
        <v>0</v>
      </c>
      <c r="BB37" s="424">
        <v>0</v>
      </c>
      <c r="BC37" s="424">
        <v>0</v>
      </c>
      <c r="BD37" s="424">
        <v>0</v>
      </c>
      <c r="BE37" s="424">
        <v>0</v>
      </c>
    </row>
    <row r="38" spans="1:57">
      <c r="W38" s="470"/>
      <c r="X38" s="470"/>
      <c r="AO38" s="470"/>
      <c r="AP38" s="470"/>
    </row>
    <row r="39" spans="1:57" ht="15.75">
      <c r="A39" s="435" t="s">
        <v>162</v>
      </c>
      <c r="V39" s="437"/>
      <c r="W39" s="438"/>
      <c r="AN39" s="453"/>
      <c r="AP39" s="452">
        <f t="shared" ref="AP39:BE39" si="34">+X40</f>
        <v>40359</v>
      </c>
      <c r="AQ39" s="452">
        <f t="shared" si="34"/>
        <v>40374</v>
      </c>
      <c r="AR39" s="452">
        <f t="shared" si="34"/>
        <v>40390</v>
      </c>
      <c r="AS39" s="452">
        <f t="shared" si="34"/>
        <v>40405</v>
      </c>
      <c r="AT39" s="452">
        <f t="shared" si="34"/>
        <v>40421</v>
      </c>
      <c r="AU39" s="452">
        <f t="shared" si="34"/>
        <v>40451</v>
      </c>
      <c r="AV39" s="452">
        <f t="shared" si="34"/>
        <v>40482</v>
      </c>
      <c r="AW39" s="452">
        <f t="shared" si="34"/>
        <v>40512</v>
      </c>
      <c r="AX39" s="452">
        <f t="shared" si="34"/>
        <v>40543</v>
      </c>
      <c r="AY39" s="452">
        <f t="shared" si="34"/>
        <v>40574</v>
      </c>
      <c r="AZ39" s="452">
        <f t="shared" si="34"/>
        <v>40602</v>
      </c>
      <c r="BA39" s="452">
        <f t="shared" si="34"/>
        <v>40633</v>
      </c>
      <c r="BB39" s="452">
        <f t="shared" si="34"/>
        <v>40663</v>
      </c>
      <c r="BC39" s="452">
        <f t="shared" si="34"/>
        <v>40678</v>
      </c>
      <c r="BD39" s="452">
        <f t="shared" si="34"/>
        <v>40694</v>
      </c>
      <c r="BE39" s="452">
        <f t="shared" si="34"/>
        <v>40709</v>
      </c>
    </row>
    <row r="40" spans="1:57">
      <c r="B40" s="436" t="s">
        <v>128</v>
      </c>
      <c r="V40" s="448"/>
      <c r="W40" s="446"/>
      <c r="X40" s="452">
        <f t="shared" ref="X40:AM40" si="35">+C41</f>
        <v>40359</v>
      </c>
      <c r="Y40" s="452">
        <f t="shared" si="35"/>
        <v>40374</v>
      </c>
      <c r="Z40" s="452">
        <f t="shared" si="35"/>
        <v>40390</v>
      </c>
      <c r="AA40" s="452">
        <f t="shared" si="35"/>
        <v>40405</v>
      </c>
      <c r="AB40" s="452">
        <f t="shared" si="35"/>
        <v>40421</v>
      </c>
      <c r="AC40" s="452">
        <f t="shared" si="35"/>
        <v>40451</v>
      </c>
      <c r="AD40" s="452">
        <f t="shared" si="35"/>
        <v>40482</v>
      </c>
      <c r="AE40" s="452">
        <f t="shared" si="35"/>
        <v>40512</v>
      </c>
      <c r="AF40" s="452">
        <f t="shared" si="35"/>
        <v>40543</v>
      </c>
      <c r="AG40" s="452">
        <f t="shared" si="35"/>
        <v>40574</v>
      </c>
      <c r="AH40" s="452">
        <f t="shared" si="35"/>
        <v>40602</v>
      </c>
      <c r="AI40" s="452">
        <f t="shared" si="35"/>
        <v>40633</v>
      </c>
      <c r="AJ40" s="452">
        <f t="shared" si="35"/>
        <v>40663</v>
      </c>
      <c r="AK40" s="452">
        <f t="shared" si="35"/>
        <v>40678</v>
      </c>
      <c r="AL40" s="452">
        <f t="shared" si="35"/>
        <v>40694</v>
      </c>
      <c r="AM40" s="452">
        <f t="shared" si="35"/>
        <v>40709</v>
      </c>
      <c r="AN40" s="453"/>
      <c r="AP40" s="453"/>
      <c r="AQ40" s="453"/>
      <c r="AR40" s="453"/>
      <c r="AS40" s="453"/>
      <c r="AT40" s="453"/>
      <c r="AU40" s="453"/>
      <c r="AV40" s="453"/>
      <c r="AW40" s="453"/>
      <c r="AX40" s="453"/>
      <c r="AY40" s="453"/>
      <c r="AZ40" s="453"/>
      <c r="BA40" s="453"/>
      <c r="BB40" s="453"/>
      <c r="BC40" s="453"/>
      <c r="BD40" s="453"/>
      <c r="BE40" s="453"/>
    </row>
    <row r="41" spans="1:57">
      <c r="A41" s="442"/>
      <c r="B41" s="443" t="s">
        <v>132</v>
      </c>
      <c r="C41" s="444">
        <f t="shared" ref="C41:R41" si="36">+C31</f>
        <v>40359</v>
      </c>
      <c r="D41" s="444">
        <f t="shared" si="36"/>
        <v>40374</v>
      </c>
      <c r="E41" s="444">
        <f t="shared" si="36"/>
        <v>40390</v>
      </c>
      <c r="F41" s="444">
        <f t="shared" si="36"/>
        <v>40405</v>
      </c>
      <c r="G41" s="444">
        <f t="shared" si="36"/>
        <v>40421</v>
      </c>
      <c r="H41" s="444">
        <f t="shared" si="36"/>
        <v>40451</v>
      </c>
      <c r="I41" s="444">
        <f t="shared" si="36"/>
        <v>40482</v>
      </c>
      <c r="J41" s="444">
        <f t="shared" si="36"/>
        <v>40512</v>
      </c>
      <c r="K41" s="444">
        <f t="shared" si="36"/>
        <v>40543</v>
      </c>
      <c r="L41" s="444">
        <f t="shared" si="36"/>
        <v>40574</v>
      </c>
      <c r="M41" s="444">
        <f t="shared" si="36"/>
        <v>40602</v>
      </c>
      <c r="N41" s="444">
        <f t="shared" si="36"/>
        <v>40633</v>
      </c>
      <c r="O41" s="444">
        <f t="shared" si="36"/>
        <v>40663</v>
      </c>
      <c r="P41" s="444">
        <f t="shared" si="36"/>
        <v>40678</v>
      </c>
      <c r="Q41" s="444">
        <f t="shared" si="36"/>
        <v>40694</v>
      </c>
      <c r="R41" s="444">
        <f t="shared" si="36"/>
        <v>40709</v>
      </c>
      <c r="V41" s="424" t="s">
        <v>86</v>
      </c>
      <c r="W41" s="424" t="s">
        <v>140</v>
      </c>
      <c r="X41" s="424">
        <f>9-X33</f>
        <v>0</v>
      </c>
      <c r="Y41" s="424">
        <f t="shared" ref="X41:AI44" si="37">9-Y33</f>
        <v>0</v>
      </c>
      <c r="Z41" s="424">
        <f t="shared" si="37"/>
        <v>0</v>
      </c>
      <c r="AA41" s="424">
        <f t="shared" si="37"/>
        <v>0</v>
      </c>
      <c r="AB41" s="424">
        <f t="shared" si="37"/>
        <v>0.5</v>
      </c>
      <c r="AC41" s="424">
        <f t="shared" si="37"/>
        <v>1.5</v>
      </c>
      <c r="AD41" s="424">
        <f t="shared" si="37"/>
        <v>2.5</v>
      </c>
      <c r="AE41" s="424">
        <f t="shared" si="37"/>
        <v>3.5</v>
      </c>
      <c r="AF41" s="424">
        <f t="shared" si="37"/>
        <v>4.5</v>
      </c>
      <c r="AG41" s="424">
        <f t="shared" si="37"/>
        <v>5.5</v>
      </c>
      <c r="AH41" s="424">
        <f t="shared" si="37"/>
        <v>6.5</v>
      </c>
      <c r="AI41" s="424">
        <f t="shared" si="37"/>
        <v>7.5</v>
      </c>
      <c r="AJ41" s="424">
        <v>8.5</v>
      </c>
      <c r="AK41" s="424">
        <v>9</v>
      </c>
      <c r="AL41" s="424">
        <v>9</v>
      </c>
      <c r="AM41" s="424">
        <v>9</v>
      </c>
      <c r="AN41" s="424" t="s">
        <v>86</v>
      </c>
      <c r="AO41" s="424" t="s">
        <v>144</v>
      </c>
      <c r="AP41" s="424">
        <f t="shared" ref="AP41:BE42" si="38">1-AP33</f>
        <v>1</v>
      </c>
      <c r="AQ41" s="424">
        <f t="shared" si="38"/>
        <v>1</v>
      </c>
      <c r="AR41" s="424">
        <f t="shared" si="38"/>
        <v>1</v>
      </c>
      <c r="AS41" s="424">
        <f t="shared" si="38"/>
        <v>1</v>
      </c>
      <c r="AT41" s="424">
        <f t="shared" si="38"/>
        <v>1</v>
      </c>
      <c r="AU41" s="424">
        <f t="shared" si="38"/>
        <v>1</v>
      </c>
      <c r="AV41" s="424">
        <f t="shared" si="38"/>
        <v>1</v>
      </c>
      <c r="AW41" s="424">
        <f t="shared" si="38"/>
        <v>1</v>
      </c>
      <c r="AX41" s="424">
        <f t="shared" si="38"/>
        <v>1</v>
      </c>
      <c r="AY41" s="424">
        <f t="shared" si="38"/>
        <v>1</v>
      </c>
      <c r="AZ41" s="424">
        <f t="shared" si="38"/>
        <v>1</v>
      </c>
      <c r="BA41" s="424">
        <f t="shared" si="38"/>
        <v>1</v>
      </c>
      <c r="BB41" s="424">
        <f t="shared" si="38"/>
        <v>1</v>
      </c>
      <c r="BC41" s="424">
        <f t="shared" si="38"/>
        <v>1</v>
      </c>
      <c r="BD41" s="424">
        <f t="shared" si="38"/>
        <v>1</v>
      </c>
      <c r="BE41" s="424">
        <f t="shared" si="38"/>
        <v>1</v>
      </c>
    </row>
    <row r="42" spans="1:57">
      <c r="V42" s="424" t="s">
        <v>138</v>
      </c>
      <c r="W42" s="424" t="s">
        <v>140</v>
      </c>
      <c r="X42" s="424">
        <f t="shared" si="37"/>
        <v>0</v>
      </c>
      <c r="Y42" s="424">
        <f t="shared" si="37"/>
        <v>0</v>
      </c>
      <c r="Z42" s="424">
        <f t="shared" si="37"/>
        <v>0</v>
      </c>
      <c r="AA42" s="424">
        <f t="shared" si="37"/>
        <v>0</v>
      </c>
      <c r="AB42" s="424">
        <f t="shared" si="37"/>
        <v>0.5</v>
      </c>
      <c r="AC42" s="424">
        <f t="shared" si="37"/>
        <v>1.5</v>
      </c>
      <c r="AD42" s="424">
        <f t="shared" si="37"/>
        <v>2.5</v>
      </c>
      <c r="AE42" s="424">
        <f t="shared" si="37"/>
        <v>3.5</v>
      </c>
      <c r="AF42" s="424">
        <f t="shared" si="37"/>
        <v>4.5</v>
      </c>
      <c r="AG42" s="424">
        <f t="shared" si="37"/>
        <v>5.5</v>
      </c>
      <c r="AH42" s="424">
        <f t="shared" si="37"/>
        <v>6.5</v>
      </c>
      <c r="AI42" s="424">
        <f t="shared" si="37"/>
        <v>7.5</v>
      </c>
      <c r="AJ42" s="424">
        <v>8.5</v>
      </c>
      <c r="AK42" s="424">
        <v>9</v>
      </c>
      <c r="AL42" s="424">
        <v>9</v>
      </c>
      <c r="AM42" s="424">
        <v>9</v>
      </c>
      <c r="AN42" s="424" t="s">
        <v>138</v>
      </c>
      <c r="AO42" s="424" t="s">
        <v>144</v>
      </c>
      <c r="AP42" s="424">
        <f t="shared" si="38"/>
        <v>1</v>
      </c>
      <c r="AQ42" s="424">
        <f t="shared" si="38"/>
        <v>1</v>
      </c>
      <c r="AR42" s="424">
        <f t="shared" si="38"/>
        <v>1</v>
      </c>
      <c r="AS42" s="424">
        <f t="shared" si="38"/>
        <v>1</v>
      </c>
      <c r="AT42" s="424">
        <f t="shared" si="38"/>
        <v>1</v>
      </c>
      <c r="AU42" s="424">
        <f t="shared" si="38"/>
        <v>1</v>
      </c>
      <c r="AV42" s="424">
        <f t="shared" si="38"/>
        <v>1</v>
      </c>
      <c r="AW42" s="424">
        <f t="shared" si="38"/>
        <v>1</v>
      </c>
      <c r="AX42" s="424">
        <f t="shared" si="38"/>
        <v>1</v>
      </c>
      <c r="AY42" s="424">
        <f t="shared" si="38"/>
        <v>1</v>
      </c>
      <c r="AZ42" s="424">
        <f t="shared" si="38"/>
        <v>1</v>
      </c>
      <c r="BA42" s="424">
        <f t="shared" si="38"/>
        <v>1</v>
      </c>
      <c r="BB42" s="424">
        <f t="shared" si="38"/>
        <v>1</v>
      </c>
      <c r="BC42" s="424">
        <f t="shared" si="38"/>
        <v>1</v>
      </c>
      <c r="BD42" s="424">
        <f t="shared" si="38"/>
        <v>1</v>
      </c>
      <c r="BE42" s="424">
        <f t="shared" si="38"/>
        <v>1</v>
      </c>
    </row>
    <row r="43" spans="1:57">
      <c r="A43" s="450" t="s">
        <v>157</v>
      </c>
      <c r="B43" s="424">
        <v>12</v>
      </c>
      <c r="C43" s="424">
        <f>ROUND((($AB$27*(X33/9))+($AC$27*(X41/9))+($AD$27*(X49/9))+($AB$28*AP33)+($AB$28*AP41)*1),0)</f>
        <v>25455</v>
      </c>
      <c r="D43" s="424">
        <f t="shared" ref="C43:E44" si="39">ROUND((($AB$27*(Y33/9))+($AC$27*(Y41/9))+($AD$27*(Y49/9))+($AB$28*AQ33)+($AB$28*AQ41)*1),0)</f>
        <v>25455</v>
      </c>
      <c r="E43" s="424">
        <f t="shared" si="39"/>
        <v>25455</v>
      </c>
      <c r="F43" s="424">
        <f t="shared" ref="F43:R47" si="40">ROUND((($AB$27*(AA33/9))+($AC$27*(AA41/9))+($AD$27*(AA49/9))+($AB$28*AS33)+($AC$28*AS41)*1),0)</f>
        <v>25526</v>
      </c>
      <c r="G43" s="424">
        <f t="shared" si="40"/>
        <v>25620</v>
      </c>
      <c r="H43" s="424">
        <f t="shared" si="40"/>
        <v>25806</v>
      </c>
      <c r="I43" s="424">
        <f t="shared" si="40"/>
        <v>25993</v>
      </c>
      <c r="J43" s="424">
        <f t="shared" si="40"/>
        <v>26179</v>
      </c>
      <c r="K43" s="424">
        <f t="shared" si="40"/>
        <v>26365</v>
      </c>
      <c r="L43" s="424">
        <f t="shared" si="40"/>
        <v>26552</v>
      </c>
      <c r="M43" s="424">
        <f t="shared" si="40"/>
        <v>26738</v>
      </c>
      <c r="N43" s="424">
        <f t="shared" si="40"/>
        <v>26925</v>
      </c>
      <c r="O43" s="424">
        <f t="shared" si="40"/>
        <v>27111</v>
      </c>
      <c r="P43" s="424">
        <f t="shared" si="40"/>
        <v>27204</v>
      </c>
      <c r="Q43" s="424">
        <f t="shared" si="40"/>
        <v>27204</v>
      </c>
      <c r="R43" s="424">
        <f t="shared" si="40"/>
        <v>27204</v>
      </c>
      <c r="V43" s="424" t="s">
        <v>85</v>
      </c>
      <c r="W43" s="424" t="s">
        <v>140</v>
      </c>
      <c r="X43" s="424">
        <f t="shared" si="37"/>
        <v>0</v>
      </c>
      <c r="Y43" s="424">
        <f t="shared" si="37"/>
        <v>0</v>
      </c>
      <c r="Z43" s="424">
        <f t="shared" si="37"/>
        <v>0</v>
      </c>
      <c r="AA43" s="424">
        <f t="shared" si="37"/>
        <v>0</v>
      </c>
      <c r="AB43" s="424">
        <f t="shared" si="37"/>
        <v>0.5</v>
      </c>
      <c r="AC43" s="424">
        <f t="shared" si="37"/>
        <v>1.5</v>
      </c>
      <c r="AD43" s="424">
        <f t="shared" si="37"/>
        <v>2.5</v>
      </c>
      <c r="AE43" s="424">
        <f t="shared" si="37"/>
        <v>3.5</v>
      </c>
      <c r="AF43" s="424">
        <f t="shared" si="37"/>
        <v>4.5</v>
      </c>
      <c r="AG43" s="424">
        <f t="shared" si="37"/>
        <v>5.5</v>
      </c>
      <c r="AH43" s="424">
        <f t="shared" si="37"/>
        <v>6.5</v>
      </c>
      <c r="AI43" s="424">
        <f t="shared" si="37"/>
        <v>7.5</v>
      </c>
      <c r="AJ43" s="424">
        <v>8.5</v>
      </c>
      <c r="AK43" s="424">
        <v>9</v>
      </c>
      <c r="AL43" s="424">
        <v>9</v>
      </c>
      <c r="AM43" s="424">
        <v>9</v>
      </c>
      <c r="AN43" s="424" t="s">
        <v>85</v>
      </c>
      <c r="AO43" s="424" t="s">
        <v>144</v>
      </c>
      <c r="AP43" s="424">
        <v>0</v>
      </c>
      <c r="AQ43" s="424">
        <v>0</v>
      </c>
      <c r="AR43" s="424">
        <v>0</v>
      </c>
      <c r="AS43" s="424">
        <v>0</v>
      </c>
      <c r="AT43" s="424">
        <v>0</v>
      </c>
      <c r="AU43" s="424">
        <v>0</v>
      </c>
      <c r="AV43" s="424">
        <v>0</v>
      </c>
      <c r="AW43" s="424">
        <v>0</v>
      </c>
      <c r="AX43" s="424">
        <v>0</v>
      </c>
      <c r="AY43" s="424">
        <v>0</v>
      </c>
      <c r="AZ43" s="424">
        <v>0</v>
      </c>
      <c r="BA43" s="424">
        <v>0</v>
      </c>
      <c r="BB43" s="424">
        <v>0</v>
      </c>
      <c r="BC43" s="424">
        <v>0</v>
      </c>
      <c r="BD43" s="424">
        <v>0</v>
      </c>
      <c r="BE43" s="424">
        <v>0</v>
      </c>
    </row>
    <row r="44" spans="1:57">
      <c r="A44" s="450" t="s">
        <v>157</v>
      </c>
      <c r="B44" s="424">
        <v>11</v>
      </c>
      <c r="C44" s="424">
        <f t="shared" si="39"/>
        <v>25455</v>
      </c>
      <c r="D44" s="424">
        <f t="shared" si="39"/>
        <v>25455</v>
      </c>
      <c r="E44" s="424">
        <f t="shared" si="39"/>
        <v>25455</v>
      </c>
      <c r="F44" s="424">
        <f t="shared" si="40"/>
        <v>25526</v>
      </c>
      <c r="G44" s="424">
        <f t="shared" si="40"/>
        <v>25620</v>
      </c>
      <c r="H44" s="424">
        <f t="shared" si="40"/>
        <v>25806</v>
      </c>
      <c r="I44" s="424">
        <f t="shared" si="40"/>
        <v>25993</v>
      </c>
      <c r="J44" s="424">
        <f t="shared" si="40"/>
        <v>26179</v>
      </c>
      <c r="K44" s="424">
        <f t="shared" si="40"/>
        <v>26365</v>
      </c>
      <c r="L44" s="424">
        <f t="shared" si="40"/>
        <v>26552</v>
      </c>
      <c r="M44" s="424">
        <f t="shared" si="40"/>
        <v>26738</v>
      </c>
      <c r="N44" s="424">
        <f t="shared" si="40"/>
        <v>26925</v>
      </c>
      <c r="O44" s="424">
        <f t="shared" si="40"/>
        <v>27111</v>
      </c>
      <c r="P44" s="424">
        <f t="shared" si="40"/>
        <v>27204</v>
      </c>
      <c r="Q44" s="424">
        <f t="shared" si="40"/>
        <v>27204</v>
      </c>
      <c r="R44" s="424">
        <f t="shared" si="40"/>
        <v>27204</v>
      </c>
      <c r="V44" s="424" t="s">
        <v>84</v>
      </c>
      <c r="W44" s="424" t="s">
        <v>163</v>
      </c>
      <c r="X44" s="424">
        <f t="shared" si="37"/>
        <v>0</v>
      </c>
      <c r="Y44" s="424">
        <f t="shared" si="37"/>
        <v>0</v>
      </c>
      <c r="Z44" s="424">
        <f t="shared" si="37"/>
        <v>0</v>
      </c>
      <c r="AA44" s="424">
        <f t="shared" si="37"/>
        <v>0</v>
      </c>
      <c r="AB44" s="424">
        <f t="shared" si="37"/>
        <v>0.5</v>
      </c>
      <c r="AC44" s="424">
        <f t="shared" si="37"/>
        <v>1.5</v>
      </c>
      <c r="AD44" s="424">
        <f t="shared" si="37"/>
        <v>2.5</v>
      </c>
      <c r="AE44" s="424">
        <f t="shared" si="37"/>
        <v>3.5</v>
      </c>
      <c r="AF44" s="424">
        <f t="shared" si="37"/>
        <v>4.5</v>
      </c>
      <c r="AG44" s="424">
        <f t="shared" si="37"/>
        <v>5.5</v>
      </c>
      <c r="AH44" s="424">
        <f t="shared" si="37"/>
        <v>6.5</v>
      </c>
      <c r="AI44" s="424">
        <f t="shared" si="37"/>
        <v>7.5</v>
      </c>
      <c r="AJ44" s="424">
        <v>8.5</v>
      </c>
      <c r="AK44" s="424">
        <v>9</v>
      </c>
      <c r="AL44" s="424">
        <v>9</v>
      </c>
      <c r="AM44" s="424">
        <v>9</v>
      </c>
      <c r="AN44" s="424" t="s">
        <v>84</v>
      </c>
      <c r="AO44" s="424" t="s">
        <v>144</v>
      </c>
      <c r="AP44" s="424">
        <v>0</v>
      </c>
      <c r="AQ44" s="424">
        <v>0</v>
      </c>
      <c r="AR44" s="424">
        <v>0</v>
      </c>
      <c r="AS44" s="424">
        <v>0</v>
      </c>
      <c r="AT44" s="424">
        <v>0</v>
      </c>
      <c r="AU44" s="424">
        <v>0</v>
      </c>
      <c r="AV44" s="424">
        <v>0</v>
      </c>
      <c r="AW44" s="424">
        <v>0</v>
      </c>
      <c r="AX44" s="424">
        <v>0</v>
      </c>
      <c r="AY44" s="424">
        <v>0</v>
      </c>
      <c r="AZ44" s="424">
        <v>0</v>
      </c>
      <c r="BA44" s="424">
        <v>0</v>
      </c>
      <c r="BB44" s="424">
        <v>0</v>
      </c>
      <c r="BC44" s="424">
        <v>0</v>
      </c>
      <c r="BD44" s="424">
        <v>0</v>
      </c>
      <c r="BE44" s="424">
        <v>0</v>
      </c>
    </row>
    <row r="45" spans="1:57">
      <c r="A45" s="450" t="s">
        <v>158</v>
      </c>
      <c r="B45" s="424">
        <v>10</v>
      </c>
      <c r="C45" s="424">
        <f t="shared" ref="C45:E47" si="41">ROUND((($AB$27*(X35/9))+($AC$27*(X43/9))+($AD$27*(X51/9))+($AB$28*AP35)+($AC$28*AP43)*1),0)</f>
        <v>23976</v>
      </c>
      <c r="D45" s="424">
        <f t="shared" si="41"/>
        <v>23976</v>
      </c>
      <c r="E45" s="424">
        <f t="shared" si="41"/>
        <v>23976</v>
      </c>
      <c r="F45" s="424">
        <f t="shared" si="40"/>
        <v>23976</v>
      </c>
      <c r="G45" s="424">
        <f t="shared" si="40"/>
        <v>24069</v>
      </c>
      <c r="H45" s="424">
        <f t="shared" si="40"/>
        <v>24256</v>
      </c>
      <c r="I45" s="424">
        <f t="shared" si="40"/>
        <v>24442</v>
      </c>
      <c r="J45" s="424">
        <f t="shared" si="40"/>
        <v>24629</v>
      </c>
      <c r="K45" s="424">
        <f t="shared" si="40"/>
        <v>24815</v>
      </c>
      <c r="L45" s="424">
        <f t="shared" si="40"/>
        <v>25001</v>
      </c>
      <c r="M45" s="424">
        <f t="shared" si="40"/>
        <v>25188</v>
      </c>
      <c r="N45" s="424">
        <f t="shared" si="40"/>
        <v>25374</v>
      </c>
      <c r="O45" s="424">
        <f t="shared" si="40"/>
        <v>25561</v>
      </c>
      <c r="P45" s="424">
        <f t="shared" si="40"/>
        <v>25654</v>
      </c>
      <c r="Q45" s="424">
        <f t="shared" si="40"/>
        <v>25654</v>
      </c>
      <c r="R45" s="424">
        <f t="shared" si="40"/>
        <v>25654</v>
      </c>
      <c r="V45" s="424" t="s">
        <v>81</v>
      </c>
      <c r="W45" s="424" t="s">
        <v>144</v>
      </c>
      <c r="X45" s="424">
        <v>0</v>
      </c>
      <c r="Y45" s="424">
        <v>0</v>
      </c>
      <c r="Z45" s="424">
        <v>0</v>
      </c>
      <c r="AA45" s="424">
        <v>0</v>
      </c>
      <c r="AB45" s="424">
        <v>0</v>
      </c>
      <c r="AC45" s="424">
        <v>0</v>
      </c>
      <c r="AD45" s="424">
        <v>0</v>
      </c>
      <c r="AE45" s="424">
        <v>0</v>
      </c>
      <c r="AF45" s="424">
        <v>0</v>
      </c>
      <c r="AG45" s="424">
        <v>0</v>
      </c>
      <c r="AH45" s="424">
        <v>0</v>
      </c>
      <c r="AI45" s="424">
        <v>0</v>
      </c>
      <c r="AJ45" s="424">
        <v>0</v>
      </c>
      <c r="AK45" s="424">
        <v>0</v>
      </c>
      <c r="AL45" s="424">
        <v>0</v>
      </c>
      <c r="AM45" s="424">
        <v>0</v>
      </c>
      <c r="AN45" s="424" t="s">
        <v>164</v>
      </c>
      <c r="AO45" s="424" t="s">
        <v>144</v>
      </c>
      <c r="AP45" s="424">
        <v>0</v>
      </c>
      <c r="AQ45" s="424">
        <v>0</v>
      </c>
      <c r="AR45" s="424">
        <v>0</v>
      </c>
      <c r="AS45" s="424">
        <v>1</v>
      </c>
      <c r="AT45" s="424">
        <v>1</v>
      </c>
      <c r="AU45" s="424">
        <v>1</v>
      </c>
      <c r="AV45" s="424">
        <v>1</v>
      </c>
      <c r="AW45" s="424">
        <v>1</v>
      </c>
      <c r="AX45" s="424">
        <v>1</v>
      </c>
      <c r="AY45" s="424">
        <v>1</v>
      </c>
      <c r="AZ45" s="424">
        <v>1</v>
      </c>
      <c r="BA45" s="424">
        <v>1</v>
      </c>
      <c r="BB45" s="424">
        <v>1</v>
      </c>
      <c r="BC45" s="424">
        <v>1</v>
      </c>
      <c r="BD45" s="424">
        <v>1</v>
      </c>
      <c r="BE45" s="424">
        <v>1</v>
      </c>
    </row>
    <row r="46" spans="1:57">
      <c r="A46" s="450" t="s">
        <v>158</v>
      </c>
      <c r="B46" s="424">
        <v>9</v>
      </c>
      <c r="C46" s="424">
        <f t="shared" si="41"/>
        <v>23976</v>
      </c>
      <c r="D46" s="424">
        <f t="shared" si="41"/>
        <v>23976</v>
      </c>
      <c r="E46" s="424">
        <f t="shared" si="41"/>
        <v>23976</v>
      </c>
      <c r="F46" s="424">
        <f t="shared" si="40"/>
        <v>23976</v>
      </c>
      <c r="G46" s="424">
        <f t="shared" si="40"/>
        <v>24069</v>
      </c>
      <c r="H46" s="424">
        <f t="shared" si="40"/>
        <v>24256</v>
      </c>
      <c r="I46" s="424">
        <f t="shared" si="40"/>
        <v>24442</v>
      </c>
      <c r="J46" s="424">
        <f t="shared" si="40"/>
        <v>24629</v>
      </c>
      <c r="K46" s="424">
        <f t="shared" si="40"/>
        <v>24815</v>
      </c>
      <c r="L46" s="424">
        <f t="shared" si="40"/>
        <v>25001</v>
      </c>
      <c r="M46" s="424">
        <f t="shared" si="40"/>
        <v>25188</v>
      </c>
      <c r="N46" s="424">
        <f t="shared" si="40"/>
        <v>25374</v>
      </c>
      <c r="O46" s="424">
        <f t="shared" si="40"/>
        <v>25561</v>
      </c>
      <c r="P46" s="424">
        <f t="shared" si="40"/>
        <v>25654</v>
      </c>
      <c r="Q46" s="424">
        <f t="shared" si="40"/>
        <v>25654</v>
      </c>
      <c r="R46" s="424">
        <f t="shared" si="40"/>
        <v>25654</v>
      </c>
      <c r="W46" s="470" t="s">
        <v>165</v>
      </c>
      <c r="X46" s="470"/>
    </row>
    <row r="47" spans="1:57">
      <c r="A47" s="450" t="s">
        <v>159</v>
      </c>
      <c r="B47" s="471" t="s">
        <v>160</v>
      </c>
      <c r="C47" s="424">
        <f t="shared" si="41"/>
        <v>1479</v>
      </c>
      <c r="D47" s="424">
        <f t="shared" si="41"/>
        <v>1479</v>
      </c>
      <c r="E47" s="424">
        <f t="shared" si="41"/>
        <v>1479</v>
      </c>
      <c r="F47" s="424">
        <f t="shared" si="40"/>
        <v>1550</v>
      </c>
      <c r="G47" s="424">
        <f t="shared" si="40"/>
        <v>1550</v>
      </c>
      <c r="H47" s="424">
        <f t="shared" si="40"/>
        <v>1550</v>
      </c>
      <c r="I47" s="424">
        <f t="shared" si="40"/>
        <v>1550</v>
      </c>
      <c r="J47" s="424">
        <f t="shared" si="40"/>
        <v>1550</v>
      </c>
      <c r="K47" s="424">
        <f t="shared" si="40"/>
        <v>1550</v>
      </c>
      <c r="L47" s="424">
        <f t="shared" si="40"/>
        <v>1550</v>
      </c>
      <c r="M47" s="424">
        <f t="shared" si="40"/>
        <v>1550</v>
      </c>
      <c r="N47" s="424">
        <f t="shared" si="40"/>
        <v>1550</v>
      </c>
      <c r="O47" s="424">
        <f t="shared" si="40"/>
        <v>1550</v>
      </c>
      <c r="P47" s="424">
        <f t="shared" si="40"/>
        <v>1550</v>
      </c>
      <c r="Q47" s="424">
        <f t="shared" si="40"/>
        <v>1550</v>
      </c>
      <c r="R47" s="424">
        <f t="shared" si="40"/>
        <v>1550</v>
      </c>
      <c r="W47" s="470"/>
      <c r="X47" s="470"/>
    </row>
    <row r="48" spans="1:57">
      <c r="V48" s="448"/>
      <c r="W48" s="448"/>
      <c r="X48" s="452">
        <f t="shared" ref="X48:AM48" si="42">+C52</f>
        <v>40359</v>
      </c>
      <c r="Y48" s="452">
        <f t="shared" si="42"/>
        <v>40374</v>
      </c>
      <c r="Z48" s="452">
        <f t="shared" si="42"/>
        <v>40390</v>
      </c>
      <c r="AA48" s="452">
        <f t="shared" si="42"/>
        <v>40405</v>
      </c>
      <c r="AB48" s="452">
        <f t="shared" si="42"/>
        <v>40421</v>
      </c>
      <c r="AC48" s="452">
        <f t="shared" si="42"/>
        <v>40451</v>
      </c>
      <c r="AD48" s="452">
        <f t="shared" si="42"/>
        <v>40482</v>
      </c>
      <c r="AE48" s="452">
        <f t="shared" si="42"/>
        <v>40512</v>
      </c>
      <c r="AF48" s="452">
        <f t="shared" si="42"/>
        <v>40543</v>
      </c>
      <c r="AG48" s="452">
        <f t="shared" si="42"/>
        <v>40574</v>
      </c>
      <c r="AH48" s="452">
        <f t="shared" si="42"/>
        <v>40602</v>
      </c>
      <c r="AI48" s="452">
        <f t="shared" si="42"/>
        <v>40633</v>
      </c>
      <c r="AJ48" s="452">
        <f t="shared" si="42"/>
        <v>40663</v>
      </c>
      <c r="AK48" s="452">
        <f t="shared" si="42"/>
        <v>40678</v>
      </c>
      <c r="AL48" s="452">
        <f t="shared" si="42"/>
        <v>40694</v>
      </c>
      <c r="AM48" s="452">
        <f t="shared" si="42"/>
        <v>40709</v>
      </c>
    </row>
    <row r="49" spans="1:39" ht="18.75" thickBot="1">
      <c r="A49" s="426" t="s">
        <v>166</v>
      </c>
      <c r="B49" s="427"/>
      <c r="C49" s="427"/>
      <c r="D49" s="427"/>
      <c r="E49" s="427"/>
      <c r="F49" s="427"/>
      <c r="G49" s="427"/>
      <c r="H49" s="427"/>
      <c r="I49" s="427"/>
      <c r="J49" s="427"/>
      <c r="K49" s="427"/>
      <c r="L49" s="427"/>
      <c r="M49" s="427"/>
      <c r="N49" s="427"/>
      <c r="O49" s="427"/>
      <c r="P49" s="427"/>
      <c r="Q49" s="427"/>
      <c r="R49" s="427"/>
      <c r="V49" s="424" t="s">
        <v>86</v>
      </c>
      <c r="W49" s="424" t="s">
        <v>134</v>
      </c>
      <c r="X49" s="424">
        <f t="shared" ref="X49:AM52" si="43">9-(X41+X33)</f>
        <v>0</v>
      </c>
      <c r="Y49" s="424">
        <f>9-(Y41+Y33)</f>
        <v>0</v>
      </c>
      <c r="Z49" s="424">
        <f t="shared" si="43"/>
        <v>0</v>
      </c>
      <c r="AA49" s="424">
        <f t="shared" si="43"/>
        <v>0</v>
      </c>
      <c r="AB49" s="424">
        <f t="shared" si="43"/>
        <v>0</v>
      </c>
      <c r="AC49" s="424">
        <f t="shared" si="43"/>
        <v>0</v>
      </c>
      <c r="AD49" s="424">
        <f t="shared" si="43"/>
        <v>0</v>
      </c>
      <c r="AE49" s="424">
        <f t="shared" si="43"/>
        <v>0</v>
      </c>
      <c r="AF49" s="424">
        <f t="shared" si="43"/>
        <v>0</v>
      </c>
      <c r="AG49" s="424">
        <f t="shared" si="43"/>
        <v>0</v>
      </c>
      <c r="AH49" s="424">
        <f t="shared" si="43"/>
        <v>0</v>
      </c>
      <c r="AI49" s="424">
        <f t="shared" si="43"/>
        <v>0</v>
      </c>
      <c r="AJ49" s="424">
        <f t="shared" si="43"/>
        <v>0</v>
      </c>
      <c r="AK49" s="424">
        <f t="shared" si="43"/>
        <v>0</v>
      </c>
      <c r="AL49" s="424">
        <f t="shared" si="43"/>
        <v>0</v>
      </c>
      <c r="AM49" s="424">
        <f t="shared" si="43"/>
        <v>0</v>
      </c>
    </row>
    <row r="50" spans="1:39" ht="18">
      <c r="A50" s="458" t="s">
        <v>154</v>
      </c>
      <c r="B50" s="459">
        <v>0.04</v>
      </c>
      <c r="C50" s="424" t="s">
        <v>155</v>
      </c>
      <c r="V50" s="424" t="s">
        <v>138</v>
      </c>
      <c r="W50" s="424" t="s">
        <v>139</v>
      </c>
      <c r="X50" s="424">
        <f t="shared" si="43"/>
        <v>0</v>
      </c>
      <c r="Y50" s="424">
        <f t="shared" si="43"/>
        <v>0</v>
      </c>
      <c r="Z50" s="424">
        <f t="shared" si="43"/>
        <v>0</v>
      </c>
      <c r="AA50" s="424">
        <f t="shared" si="43"/>
        <v>0</v>
      </c>
      <c r="AB50" s="424">
        <f t="shared" si="43"/>
        <v>0</v>
      </c>
      <c r="AC50" s="424">
        <f t="shared" si="43"/>
        <v>0</v>
      </c>
      <c r="AD50" s="424">
        <f t="shared" si="43"/>
        <v>0</v>
      </c>
      <c r="AE50" s="424">
        <f t="shared" si="43"/>
        <v>0</v>
      </c>
      <c r="AF50" s="424">
        <f t="shared" si="43"/>
        <v>0</v>
      </c>
      <c r="AG50" s="424">
        <f t="shared" si="43"/>
        <v>0</v>
      </c>
      <c r="AH50" s="424">
        <f t="shared" si="43"/>
        <v>0</v>
      </c>
      <c r="AI50" s="424">
        <f t="shared" si="43"/>
        <v>0</v>
      </c>
      <c r="AJ50" s="424">
        <f t="shared" si="43"/>
        <v>0</v>
      </c>
      <c r="AK50" s="424">
        <f t="shared" si="43"/>
        <v>0</v>
      </c>
      <c r="AL50" s="424">
        <f t="shared" si="43"/>
        <v>0</v>
      </c>
      <c r="AM50" s="424">
        <f t="shared" si="43"/>
        <v>0</v>
      </c>
    </row>
    <row r="51" spans="1:39">
      <c r="B51" s="436" t="s">
        <v>128</v>
      </c>
      <c r="V51" s="424" t="s">
        <v>85</v>
      </c>
      <c r="W51" s="424" t="s">
        <v>139</v>
      </c>
      <c r="X51" s="424">
        <f t="shared" si="43"/>
        <v>0</v>
      </c>
      <c r="Y51" s="424">
        <f t="shared" si="43"/>
        <v>0</v>
      </c>
      <c r="Z51" s="424">
        <f t="shared" si="43"/>
        <v>0</v>
      </c>
      <c r="AA51" s="424">
        <f t="shared" si="43"/>
        <v>0</v>
      </c>
      <c r="AB51" s="424">
        <f t="shared" si="43"/>
        <v>0</v>
      </c>
      <c r="AC51" s="424">
        <f t="shared" si="43"/>
        <v>0</v>
      </c>
      <c r="AD51" s="424">
        <f t="shared" si="43"/>
        <v>0</v>
      </c>
      <c r="AE51" s="424">
        <f t="shared" si="43"/>
        <v>0</v>
      </c>
      <c r="AF51" s="424">
        <f t="shared" si="43"/>
        <v>0</v>
      </c>
      <c r="AG51" s="424">
        <f t="shared" si="43"/>
        <v>0</v>
      </c>
      <c r="AH51" s="424">
        <f t="shared" si="43"/>
        <v>0</v>
      </c>
      <c r="AI51" s="424">
        <f t="shared" si="43"/>
        <v>0</v>
      </c>
      <c r="AJ51" s="424">
        <f t="shared" si="43"/>
        <v>0</v>
      </c>
      <c r="AK51" s="424">
        <f t="shared" si="43"/>
        <v>0</v>
      </c>
      <c r="AL51" s="424">
        <f t="shared" si="43"/>
        <v>0</v>
      </c>
      <c r="AM51" s="424">
        <f t="shared" si="43"/>
        <v>0</v>
      </c>
    </row>
    <row r="52" spans="1:39">
      <c r="A52" s="442"/>
      <c r="B52" s="443" t="s">
        <v>132</v>
      </c>
      <c r="C52" s="444">
        <f t="shared" ref="C52:R52" si="44">+C41</f>
        <v>40359</v>
      </c>
      <c r="D52" s="444">
        <f t="shared" si="44"/>
        <v>40374</v>
      </c>
      <c r="E52" s="444">
        <f t="shared" si="44"/>
        <v>40390</v>
      </c>
      <c r="F52" s="444">
        <f t="shared" si="44"/>
        <v>40405</v>
      </c>
      <c r="G52" s="444">
        <f t="shared" si="44"/>
        <v>40421</v>
      </c>
      <c r="H52" s="444">
        <f t="shared" si="44"/>
        <v>40451</v>
      </c>
      <c r="I52" s="444">
        <f t="shared" si="44"/>
        <v>40482</v>
      </c>
      <c r="J52" s="444">
        <f t="shared" si="44"/>
        <v>40512</v>
      </c>
      <c r="K52" s="444">
        <f t="shared" si="44"/>
        <v>40543</v>
      </c>
      <c r="L52" s="444">
        <f t="shared" si="44"/>
        <v>40574</v>
      </c>
      <c r="M52" s="444">
        <f t="shared" si="44"/>
        <v>40602</v>
      </c>
      <c r="N52" s="444">
        <f t="shared" si="44"/>
        <v>40633</v>
      </c>
      <c r="O52" s="444">
        <f t="shared" si="44"/>
        <v>40663</v>
      </c>
      <c r="P52" s="444">
        <f t="shared" si="44"/>
        <v>40678</v>
      </c>
      <c r="Q52" s="444">
        <f t="shared" si="44"/>
        <v>40694</v>
      </c>
      <c r="R52" s="444">
        <f t="shared" si="44"/>
        <v>40709</v>
      </c>
      <c r="V52" s="424" t="s">
        <v>84</v>
      </c>
      <c r="W52" s="424" t="s">
        <v>139</v>
      </c>
      <c r="X52" s="424">
        <f t="shared" si="43"/>
        <v>0</v>
      </c>
      <c r="Y52" s="424">
        <f t="shared" si="43"/>
        <v>0</v>
      </c>
      <c r="Z52" s="424">
        <f t="shared" si="43"/>
        <v>0</v>
      </c>
      <c r="AA52" s="424">
        <f t="shared" si="43"/>
        <v>0</v>
      </c>
      <c r="AB52" s="424">
        <f t="shared" si="43"/>
        <v>0</v>
      </c>
      <c r="AC52" s="424">
        <f t="shared" si="43"/>
        <v>0</v>
      </c>
      <c r="AD52" s="424">
        <f t="shared" si="43"/>
        <v>0</v>
      </c>
      <c r="AE52" s="424">
        <f t="shared" si="43"/>
        <v>0</v>
      </c>
      <c r="AF52" s="424">
        <f t="shared" si="43"/>
        <v>0</v>
      </c>
      <c r="AG52" s="424">
        <f t="shared" si="43"/>
        <v>0</v>
      </c>
      <c r="AH52" s="424">
        <f t="shared" si="43"/>
        <v>0</v>
      </c>
      <c r="AI52" s="424">
        <f t="shared" si="43"/>
        <v>0</v>
      </c>
      <c r="AJ52" s="424">
        <f t="shared" si="43"/>
        <v>0</v>
      </c>
      <c r="AK52" s="424">
        <f t="shared" si="43"/>
        <v>0</v>
      </c>
      <c r="AL52" s="424">
        <f t="shared" si="43"/>
        <v>0</v>
      </c>
      <c r="AM52" s="424">
        <f t="shared" si="43"/>
        <v>0</v>
      </c>
    </row>
    <row r="53" spans="1:39">
      <c r="V53" s="424" t="s">
        <v>81</v>
      </c>
      <c r="W53" s="424" t="s">
        <v>144</v>
      </c>
      <c r="X53" s="424">
        <v>0</v>
      </c>
      <c r="Y53" s="424">
        <v>0</v>
      </c>
      <c r="Z53" s="424">
        <v>0</v>
      </c>
      <c r="AA53" s="424">
        <v>0</v>
      </c>
      <c r="AB53" s="424">
        <v>0</v>
      </c>
      <c r="AC53" s="424">
        <v>0</v>
      </c>
      <c r="AD53" s="424">
        <v>0</v>
      </c>
      <c r="AE53" s="424">
        <v>0</v>
      </c>
      <c r="AF53" s="424">
        <v>0</v>
      </c>
      <c r="AG53" s="424">
        <v>0</v>
      </c>
      <c r="AH53" s="424">
        <v>0</v>
      </c>
      <c r="AI53" s="424">
        <v>0</v>
      </c>
      <c r="AJ53" s="424">
        <v>0</v>
      </c>
      <c r="AK53" s="424">
        <v>0</v>
      </c>
      <c r="AL53" s="424">
        <v>0</v>
      </c>
      <c r="AM53" s="424">
        <v>0</v>
      </c>
    </row>
    <row r="54" spans="1:39">
      <c r="A54" s="472" t="s">
        <v>167</v>
      </c>
      <c r="B54" s="473"/>
      <c r="C54" s="424">
        <f>ROUND((($AF$27*(X36/9))+($AG$27*(X44/9))+($AH$27*(X52/9))+($AF$28*AP36)+($AG$28*AP44)*1),0)</f>
        <v>2022</v>
      </c>
      <c r="D54" s="424">
        <f>ROUND((($AF$27*(Y36/9))+($AG$27*(Y44/9))+($AH$27*(Y52/9))+($AF$28*AQ36)+($AG$28*AQ44)*1),0)</f>
        <v>2022</v>
      </c>
      <c r="E54" s="424">
        <f>ROUND((($AF$27*(Z36/9))+($AG$27*(Z44/9))+($AH$27*(Z52/9))+($AF$28*AR36)+($AG$28*AR44)*1),0)</f>
        <v>2022</v>
      </c>
      <c r="F54" s="424">
        <f>ROUND((($AF$27*(AA36/9))+($AG$27*(AA44/9))+($AH$27*(AA52/9))+($AF$28*AS36)+($AG$28*AS44)*1),0)</f>
        <v>2022</v>
      </c>
      <c r="G54" s="424">
        <f>ROUND((($AF$27*(AB36/9))+($AG$27*(AB44/9))+($AH$27*(AB52/9))+($AF$28*AT36)+($AG$28*AT44)*1),0)</f>
        <v>2027</v>
      </c>
      <c r="H54" s="424">
        <f t="shared" ref="H54:R54" si="45">ROUND((($AF$27*(AC36/9))+($AG$27*(AC44/9))+($AH$27*(AC52/9))+($AF$28*AU36)+($AG$28*AU44)*1),0)</f>
        <v>2036</v>
      </c>
      <c r="I54" s="424">
        <f t="shared" si="45"/>
        <v>2045</v>
      </c>
      <c r="J54" s="424">
        <f t="shared" si="45"/>
        <v>2054</v>
      </c>
      <c r="K54" s="424">
        <f t="shared" si="45"/>
        <v>2063</v>
      </c>
      <c r="L54" s="424">
        <f t="shared" si="45"/>
        <v>2072</v>
      </c>
      <c r="M54" s="424">
        <f t="shared" si="45"/>
        <v>2081</v>
      </c>
      <c r="N54" s="424">
        <f t="shared" si="45"/>
        <v>2090</v>
      </c>
      <c r="O54" s="424">
        <f t="shared" si="45"/>
        <v>2099</v>
      </c>
      <c r="P54" s="424">
        <f t="shared" si="45"/>
        <v>2103</v>
      </c>
      <c r="Q54" s="424">
        <f t="shared" si="45"/>
        <v>2103</v>
      </c>
      <c r="R54" s="424">
        <f t="shared" si="45"/>
        <v>2103</v>
      </c>
    </row>
    <row r="55" spans="1:39">
      <c r="Q55" s="474"/>
      <c r="R55" s="474"/>
    </row>
  </sheetData>
  <sheetProtection password="D14C" sheet="1" objects="1" scenarios="1"/>
  <pageMargins left="0.2" right="0.2" top="0.2" bottom="0.2" header="0" footer="0"/>
  <pageSetup paperSize="151" scale="1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zoomScaleNormal="100" workbookViewId="0"/>
  </sheetViews>
  <sheetFormatPr defaultRowHeight="12"/>
  <cols>
    <col min="1" max="9" width="9.140625" style="138"/>
    <col min="10" max="11" width="10.7109375" style="138" customWidth="1"/>
    <col min="12" max="12" width="4.7109375" style="138" customWidth="1"/>
    <col min="13" max="14" width="10.7109375" style="138" customWidth="1"/>
    <col min="15" max="15" width="4.7109375" style="138" customWidth="1"/>
    <col min="16" max="19" width="10.7109375" style="138" customWidth="1"/>
    <col min="20" max="20" width="4.7109375" style="138" customWidth="1"/>
    <col min="21" max="22" width="10.7109375" style="138" customWidth="1"/>
    <col min="23" max="265" width="9.140625" style="138"/>
    <col min="266" max="267" width="10.7109375" style="138" customWidth="1"/>
    <col min="268" max="268" width="4.7109375" style="138" customWidth="1"/>
    <col min="269" max="270" width="10.7109375" style="138" customWidth="1"/>
    <col min="271" max="271" width="4.7109375" style="138" customWidth="1"/>
    <col min="272" max="275" width="10.7109375" style="138" customWidth="1"/>
    <col min="276" max="276" width="4.7109375" style="138" customWidth="1"/>
    <col min="277" max="278" width="10.7109375" style="138" customWidth="1"/>
    <col min="279" max="521" width="9.140625" style="138"/>
    <col min="522" max="523" width="10.7109375" style="138" customWidth="1"/>
    <col min="524" max="524" width="4.7109375" style="138" customWidth="1"/>
    <col min="525" max="526" width="10.7109375" style="138" customWidth="1"/>
    <col min="527" max="527" width="4.7109375" style="138" customWidth="1"/>
    <col min="528" max="531" width="10.7109375" style="138" customWidth="1"/>
    <col min="532" max="532" width="4.7109375" style="138" customWidth="1"/>
    <col min="533" max="534" width="10.7109375" style="138" customWidth="1"/>
    <col min="535" max="777" width="9.140625" style="138"/>
    <col min="778" max="779" width="10.7109375" style="138" customWidth="1"/>
    <col min="780" max="780" width="4.7109375" style="138" customWidth="1"/>
    <col min="781" max="782" width="10.7109375" style="138" customWidth="1"/>
    <col min="783" max="783" width="4.7109375" style="138" customWidth="1"/>
    <col min="784" max="787" width="10.7109375" style="138" customWidth="1"/>
    <col min="788" max="788" width="4.7109375" style="138" customWidth="1"/>
    <col min="789" max="790" width="10.7109375" style="138" customWidth="1"/>
    <col min="791" max="1033" width="9.140625" style="138"/>
    <col min="1034" max="1035" width="10.7109375" style="138" customWidth="1"/>
    <col min="1036" max="1036" width="4.7109375" style="138" customWidth="1"/>
    <col min="1037" max="1038" width="10.7109375" style="138" customWidth="1"/>
    <col min="1039" max="1039" width="4.7109375" style="138" customWidth="1"/>
    <col min="1040" max="1043" width="10.7109375" style="138" customWidth="1"/>
    <col min="1044" max="1044" width="4.7109375" style="138" customWidth="1"/>
    <col min="1045" max="1046" width="10.7109375" style="138" customWidth="1"/>
    <col min="1047" max="1289" width="9.140625" style="138"/>
    <col min="1290" max="1291" width="10.7109375" style="138" customWidth="1"/>
    <col min="1292" max="1292" width="4.7109375" style="138" customWidth="1"/>
    <col min="1293" max="1294" width="10.7109375" style="138" customWidth="1"/>
    <col min="1295" max="1295" width="4.7109375" style="138" customWidth="1"/>
    <col min="1296" max="1299" width="10.7109375" style="138" customWidth="1"/>
    <col min="1300" max="1300" width="4.7109375" style="138" customWidth="1"/>
    <col min="1301" max="1302" width="10.7109375" style="138" customWidth="1"/>
    <col min="1303" max="1545" width="9.140625" style="138"/>
    <col min="1546" max="1547" width="10.7109375" style="138" customWidth="1"/>
    <col min="1548" max="1548" width="4.7109375" style="138" customWidth="1"/>
    <col min="1549" max="1550" width="10.7109375" style="138" customWidth="1"/>
    <col min="1551" max="1551" width="4.7109375" style="138" customWidth="1"/>
    <col min="1552" max="1555" width="10.7109375" style="138" customWidth="1"/>
    <col min="1556" max="1556" width="4.7109375" style="138" customWidth="1"/>
    <col min="1557" max="1558" width="10.7109375" style="138" customWidth="1"/>
    <col min="1559" max="1801" width="9.140625" style="138"/>
    <col min="1802" max="1803" width="10.7109375" style="138" customWidth="1"/>
    <col min="1804" max="1804" width="4.7109375" style="138" customWidth="1"/>
    <col min="1805" max="1806" width="10.7109375" style="138" customWidth="1"/>
    <col min="1807" max="1807" width="4.7109375" style="138" customWidth="1"/>
    <col min="1808" max="1811" width="10.7109375" style="138" customWidth="1"/>
    <col min="1812" max="1812" width="4.7109375" style="138" customWidth="1"/>
    <col min="1813" max="1814" width="10.7109375" style="138" customWidth="1"/>
    <col min="1815" max="2057" width="9.140625" style="138"/>
    <col min="2058" max="2059" width="10.7109375" style="138" customWidth="1"/>
    <col min="2060" max="2060" width="4.7109375" style="138" customWidth="1"/>
    <col min="2061" max="2062" width="10.7109375" style="138" customWidth="1"/>
    <col min="2063" max="2063" width="4.7109375" style="138" customWidth="1"/>
    <col min="2064" max="2067" width="10.7109375" style="138" customWidth="1"/>
    <col min="2068" max="2068" width="4.7109375" style="138" customWidth="1"/>
    <col min="2069" max="2070" width="10.7109375" style="138" customWidth="1"/>
    <col min="2071" max="2313" width="9.140625" style="138"/>
    <col min="2314" max="2315" width="10.7109375" style="138" customWidth="1"/>
    <col min="2316" max="2316" width="4.7109375" style="138" customWidth="1"/>
    <col min="2317" max="2318" width="10.7109375" style="138" customWidth="1"/>
    <col min="2319" max="2319" width="4.7109375" style="138" customWidth="1"/>
    <col min="2320" max="2323" width="10.7109375" style="138" customWidth="1"/>
    <col min="2324" max="2324" width="4.7109375" style="138" customWidth="1"/>
    <col min="2325" max="2326" width="10.7109375" style="138" customWidth="1"/>
    <col min="2327" max="2569" width="9.140625" style="138"/>
    <col min="2570" max="2571" width="10.7109375" style="138" customWidth="1"/>
    <col min="2572" max="2572" width="4.7109375" style="138" customWidth="1"/>
    <col min="2573" max="2574" width="10.7109375" style="138" customWidth="1"/>
    <col min="2575" max="2575" width="4.7109375" style="138" customWidth="1"/>
    <col min="2576" max="2579" width="10.7109375" style="138" customWidth="1"/>
    <col min="2580" max="2580" width="4.7109375" style="138" customWidth="1"/>
    <col min="2581" max="2582" width="10.7109375" style="138" customWidth="1"/>
    <col min="2583" max="2825" width="9.140625" style="138"/>
    <col min="2826" max="2827" width="10.7109375" style="138" customWidth="1"/>
    <col min="2828" max="2828" width="4.7109375" style="138" customWidth="1"/>
    <col min="2829" max="2830" width="10.7109375" style="138" customWidth="1"/>
    <col min="2831" max="2831" width="4.7109375" style="138" customWidth="1"/>
    <col min="2832" max="2835" width="10.7109375" style="138" customWidth="1"/>
    <col min="2836" max="2836" width="4.7109375" style="138" customWidth="1"/>
    <col min="2837" max="2838" width="10.7109375" style="138" customWidth="1"/>
    <col min="2839" max="3081" width="9.140625" style="138"/>
    <col min="3082" max="3083" width="10.7109375" style="138" customWidth="1"/>
    <col min="3084" max="3084" width="4.7109375" style="138" customWidth="1"/>
    <col min="3085" max="3086" width="10.7109375" style="138" customWidth="1"/>
    <col min="3087" max="3087" width="4.7109375" style="138" customWidth="1"/>
    <col min="3088" max="3091" width="10.7109375" style="138" customWidth="1"/>
    <col min="3092" max="3092" width="4.7109375" style="138" customWidth="1"/>
    <col min="3093" max="3094" width="10.7109375" style="138" customWidth="1"/>
    <col min="3095" max="3337" width="9.140625" style="138"/>
    <col min="3338" max="3339" width="10.7109375" style="138" customWidth="1"/>
    <col min="3340" max="3340" width="4.7109375" style="138" customWidth="1"/>
    <col min="3341" max="3342" width="10.7109375" style="138" customWidth="1"/>
    <col min="3343" max="3343" width="4.7109375" style="138" customWidth="1"/>
    <col min="3344" max="3347" width="10.7109375" style="138" customWidth="1"/>
    <col min="3348" max="3348" width="4.7109375" style="138" customWidth="1"/>
    <col min="3349" max="3350" width="10.7109375" style="138" customWidth="1"/>
    <col min="3351" max="3593" width="9.140625" style="138"/>
    <col min="3594" max="3595" width="10.7109375" style="138" customWidth="1"/>
    <col min="3596" max="3596" width="4.7109375" style="138" customWidth="1"/>
    <col min="3597" max="3598" width="10.7109375" style="138" customWidth="1"/>
    <col min="3599" max="3599" width="4.7109375" style="138" customWidth="1"/>
    <col min="3600" max="3603" width="10.7109375" style="138" customWidth="1"/>
    <col min="3604" max="3604" width="4.7109375" style="138" customWidth="1"/>
    <col min="3605" max="3606" width="10.7109375" style="138" customWidth="1"/>
    <col min="3607" max="3849" width="9.140625" style="138"/>
    <col min="3850" max="3851" width="10.7109375" style="138" customWidth="1"/>
    <col min="3852" max="3852" width="4.7109375" style="138" customWidth="1"/>
    <col min="3853" max="3854" width="10.7109375" style="138" customWidth="1"/>
    <col min="3855" max="3855" width="4.7109375" style="138" customWidth="1"/>
    <col min="3856" max="3859" width="10.7109375" style="138" customWidth="1"/>
    <col min="3860" max="3860" width="4.7109375" style="138" customWidth="1"/>
    <col min="3861" max="3862" width="10.7109375" style="138" customWidth="1"/>
    <col min="3863" max="4105" width="9.140625" style="138"/>
    <col min="4106" max="4107" width="10.7109375" style="138" customWidth="1"/>
    <col min="4108" max="4108" width="4.7109375" style="138" customWidth="1"/>
    <col min="4109" max="4110" width="10.7109375" style="138" customWidth="1"/>
    <col min="4111" max="4111" width="4.7109375" style="138" customWidth="1"/>
    <col min="4112" max="4115" width="10.7109375" style="138" customWidth="1"/>
    <col min="4116" max="4116" width="4.7109375" style="138" customWidth="1"/>
    <col min="4117" max="4118" width="10.7109375" style="138" customWidth="1"/>
    <col min="4119" max="4361" width="9.140625" style="138"/>
    <col min="4362" max="4363" width="10.7109375" style="138" customWidth="1"/>
    <col min="4364" max="4364" width="4.7109375" style="138" customWidth="1"/>
    <col min="4365" max="4366" width="10.7109375" style="138" customWidth="1"/>
    <col min="4367" max="4367" width="4.7109375" style="138" customWidth="1"/>
    <col min="4368" max="4371" width="10.7109375" style="138" customWidth="1"/>
    <col min="4372" max="4372" width="4.7109375" style="138" customWidth="1"/>
    <col min="4373" max="4374" width="10.7109375" style="138" customWidth="1"/>
    <col min="4375" max="4617" width="9.140625" style="138"/>
    <col min="4618" max="4619" width="10.7109375" style="138" customWidth="1"/>
    <col min="4620" max="4620" width="4.7109375" style="138" customWidth="1"/>
    <col min="4621" max="4622" width="10.7109375" style="138" customWidth="1"/>
    <col min="4623" max="4623" width="4.7109375" style="138" customWidth="1"/>
    <col min="4624" max="4627" width="10.7109375" style="138" customWidth="1"/>
    <col min="4628" max="4628" width="4.7109375" style="138" customWidth="1"/>
    <col min="4629" max="4630" width="10.7109375" style="138" customWidth="1"/>
    <col min="4631" max="4873" width="9.140625" style="138"/>
    <col min="4874" max="4875" width="10.7109375" style="138" customWidth="1"/>
    <col min="4876" max="4876" width="4.7109375" style="138" customWidth="1"/>
    <col min="4877" max="4878" width="10.7109375" style="138" customWidth="1"/>
    <col min="4879" max="4879" width="4.7109375" style="138" customWidth="1"/>
    <col min="4880" max="4883" width="10.7109375" style="138" customWidth="1"/>
    <col min="4884" max="4884" width="4.7109375" style="138" customWidth="1"/>
    <col min="4885" max="4886" width="10.7109375" style="138" customWidth="1"/>
    <col min="4887" max="5129" width="9.140625" style="138"/>
    <col min="5130" max="5131" width="10.7109375" style="138" customWidth="1"/>
    <col min="5132" max="5132" width="4.7109375" style="138" customWidth="1"/>
    <col min="5133" max="5134" width="10.7109375" style="138" customWidth="1"/>
    <col min="5135" max="5135" width="4.7109375" style="138" customWidth="1"/>
    <col min="5136" max="5139" width="10.7109375" style="138" customWidth="1"/>
    <col min="5140" max="5140" width="4.7109375" style="138" customWidth="1"/>
    <col min="5141" max="5142" width="10.7109375" style="138" customWidth="1"/>
    <col min="5143" max="5385" width="9.140625" style="138"/>
    <col min="5386" max="5387" width="10.7109375" style="138" customWidth="1"/>
    <col min="5388" max="5388" width="4.7109375" style="138" customWidth="1"/>
    <col min="5389" max="5390" width="10.7109375" style="138" customWidth="1"/>
    <col min="5391" max="5391" width="4.7109375" style="138" customWidth="1"/>
    <col min="5392" max="5395" width="10.7109375" style="138" customWidth="1"/>
    <col min="5396" max="5396" width="4.7109375" style="138" customWidth="1"/>
    <col min="5397" max="5398" width="10.7109375" style="138" customWidth="1"/>
    <col min="5399" max="5641" width="9.140625" style="138"/>
    <col min="5642" max="5643" width="10.7109375" style="138" customWidth="1"/>
    <col min="5644" max="5644" width="4.7109375" style="138" customWidth="1"/>
    <col min="5645" max="5646" width="10.7109375" style="138" customWidth="1"/>
    <col min="5647" max="5647" width="4.7109375" style="138" customWidth="1"/>
    <col min="5648" max="5651" width="10.7109375" style="138" customWidth="1"/>
    <col min="5652" max="5652" width="4.7109375" style="138" customWidth="1"/>
    <col min="5653" max="5654" width="10.7109375" style="138" customWidth="1"/>
    <col min="5655" max="5897" width="9.140625" style="138"/>
    <col min="5898" max="5899" width="10.7109375" style="138" customWidth="1"/>
    <col min="5900" max="5900" width="4.7109375" style="138" customWidth="1"/>
    <col min="5901" max="5902" width="10.7109375" style="138" customWidth="1"/>
    <col min="5903" max="5903" width="4.7109375" style="138" customWidth="1"/>
    <col min="5904" max="5907" width="10.7109375" style="138" customWidth="1"/>
    <col min="5908" max="5908" width="4.7109375" style="138" customWidth="1"/>
    <col min="5909" max="5910" width="10.7109375" style="138" customWidth="1"/>
    <col min="5911" max="6153" width="9.140625" style="138"/>
    <col min="6154" max="6155" width="10.7109375" style="138" customWidth="1"/>
    <col min="6156" max="6156" width="4.7109375" style="138" customWidth="1"/>
    <col min="6157" max="6158" width="10.7109375" style="138" customWidth="1"/>
    <col min="6159" max="6159" width="4.7109375" style="138" customWidth="1"/>
    <col min="6160" max="6163" width="10.7109375" style="138" customWidth="1"/>
    <col min="6164" max="6164" width="4.7109375" style="138" customWidth="1"/>
    <col min="6165" max="6166" width="10.7109375" style="138" customWidth="1"/>
    <col min="6167" max="6409" width="9.140625" style="138"/>
    <col min="6410" max="6411" width="10.7109375" style="138" customWidth="1"/>
    <col min="6412" max="6412" width="4.7109375" style="138" customWidth="1"/>
    <col min="6413" max="6414" width="10.7109375" style="138" customWidth="1"/>
    <col min="6415" max="6415" width="4.7109375" style="138" customWidth="1"/>
    <col min="6416" max="6419" width="10.7109375" style="138" customWidth="1"/>
    <col min="6420" max="6420" width="4.7109375" style="138" customWidth="1"/>
    <col min="6421" max="6422" width="10.7109375" style="138" customWidth="1"/>
    <col min="6423" max="6665" width="9.140625" style="138"/>
    <col min="6666" max="6667" width="10.7109375" style="138" customWidth="1"/>
    <col min="6668" max="6668" width="4.7109375" style="138" customWidth="1"/>
    <col min="6669" max="6670" width="10.7109375" style="138" customWidth="1"/>
    <col min="6671" max="6671" width="4.7109375" style="138" customWidth="1"/>
    <col min="6672" max="6675" width="10.7109375" style="138" customWidth="1"/>
    <col min="6676" max="6676" width="4.7109375" style="138" customWidth="1"/>
    <col min="6677" max="6678" width="10.7109375" style="138" customWidth="1"/>
    <col min="6679" max="6921" width="9.140625" style="138"/>
    <col min="6922" max="6923" width="10.7109375" style="138" customWidth="1"/>
    <col min="6924" max="6924" width="4.7109375" style="138" customWidth="1"/>
    <col min="6925" max="6926" width="10.7109375" style="138" customWidth="1"/>
    <col min="6927" max="6927" width="4.7109375" style="138" customWidth="1"/>
    <col min="6928" max="6931" width="10.7109375" style="138" customWidth="1"/>
    <col min="6932" max="6932" width="4.7109375" style="138" customWidth="1"/>
    <col min="6933" max="6934" width="10.7109375" style="138" customWidth="1"/>
    <col min="6935" max="7177" width="9.140625" style="138"/>
    <col min="7178" max="7179" width="10.7109375" style="138" customWidth="1"/>
    <col min="7180" max="7180" width="4.7109375" style="138" customWidth="1"/>
    <col min="7181" max="7182" width="10.7109375" style="138" customWidth="1"/>
    <col min="7183" max="7183" width="4.7109375" style="138" customWidth="1"/>
    <col min="7184" max="7187" width="10.7109375" style="138" customWidth="1"/>
    <col min="7188" max="7188" width="4.7109375" style="138" customWidth="1"/>
    <col min="7189" max="7190" width="10.7109375" style="138" customWidth="1"/>
    <col min="7191" max="7433" width="9.140625" style="138"/>
    <col min="7434" max="7435" width="10.7109375" style="138" customWidth="1"/>
    <col min="7436" max="7436" width="4.7109375" style="138" customWidth="1"/>
    <col min="7437" max="7438" width="10.7109375" style="138" customWidth="1"/>
    <col min="7439" max="7439" width="4.7109375" style="138" customWidth="1"/>
    <col min="7440" max="7443" width="10.7109375" style="138" customWidth="1"/>
    <col min="7444" max="7444" width="4.7109375" style="138" customWidth="1"/>
    <col min="7445" max="7446" width="10.7109375" style="138" customWidth="1"/>
    <col min="7447" max="7689" width="9.140625" style="138"/>
    <col min="7690" max="7691" width="10.7109375" style="138" customWidth="1"/>
    <col min="7692" max="7692" width="4.7109375" style="138" customWidth="1"/>
    <col min="7693" max="7694" width="10.7109375" style="138" customWidth="1"/>
    <col min="7695" max="7695" width="4.7109375" style="138" customWidth="1"/>
    <col min="7696" max="7699" width="10.7109375" style="138" customWidth="1"/>
    <col min="7700" max="7700" width="4.7109375" style="138" customWidth="1"/>
    <col min="7701" max="7702" width="10.7109375" style="138" customWidth="1"/>
    <col min="7703" max="7945" width="9.140625" style="138"/>
    <col min="7946" max="7947" width="10.7109375" style="138" customWidth="1"/>
    <col min="7948" max="7948" width="4.7109375" style="138" customWidth="1"/>
    <col min="7949" max="7950" width="10.7109375" style="138" customWidth="1"/>
    <col min="7951" max="7951" width="4.7109375" style="138" customWidth="1"/>
    <col min="7952" max="7955" width="10.7109375" style="138" customWidth="1"/>
    <col min="7956" max="7956" width="4.7109375" style="138" customWidth="1"/>
    <col min="7957" max="7958" width="10.7109375" style="138" customWidth="1"/>
    <col min="7959" max="8201" width="9.140625" style="138"/>
    <col min="8202" max="8203" width="10.7109375" style="138" customWidth="1"/>
    <col min="8204" max="8204" width="4.7109375" style="138" customWidth="1"/>
    <col min="8205" max="8206" width="10.7109375" style="138" customWidth="1"/>
    <col min="8207" max="8207" width="4.7109375" style="138" customWidth="1"/>
    <col min="8208" max="8211" width="10.7109375" style="138" customWidth="1"/>
    <col min="8212" max="8212" width="4.7109375" style="138" customWidth="1"/>
    <col min="8213" max="8214" width="10.7109375" style="138" customWidth="1"/>
    <col min="8215" max="8457" width="9.140625" style="138"/>
    <col min="8458" max="8459" width="10.7109375" style="138" customWidth="1"/>
    <col min="8460" max="8460" width="4.7109375" style="138" customWidth="1"/>
    <col min="8461" max="8462" width="10.7109375" style="138" customWidth="1"/>
    <col min="8463" max="8463" width="4.7109375" style="138" customWidth="1"/>
    <col min="8464" max="8467" width="10.7109375" style="138" customWidth="1"/>
    <col min="8468" max="8468" width="4.7109375" style="138" customWidth="1"/>
    <col min="8469" max="8470" width="10.7109375" style="138" customWidth="1"/>
    <col min="8471" max="8713" width="9.140625" style="138"/>
    <col min="8714" max="8715" width="10.7109375" style="138" customWidth="1"/>
    <col min="8716" max="8716" width="4.7109375" style="138" customWidth="1"/>
    <col min="8717" max="8718" width="10.7109375" style="138" customWidth="1"/>
    <col min="8719" max="8719" width="4.7109375" style="138" customWidth="1"/>
    <col min="8720" max="8723" width="10.7109375" style="138" customWidth="1"/>
    <col min="8724" max="8724" width="4.7109375" style="138" customWidth="1"/>
    <col min="8725" max="8726" width="10.7109375" style="138" customWidth="1"/>
    <col min="8727" max="8969" width="9.140625" style="138"/>
    <col min="8970" max="8971" width="10.7109375" style="138" customWidth="1"/>
    <col min="8972" max="8972" width="4.7109375" style="138" customWidth="1"/>
    <col min="8973" max="8974" width="10.7109375" style="138" customWidth="1"/>
    <col min="8975" max="8975" width="4.7109375" style="138" customWidth="1"/>
    <col min="8976" max="8979" width="10.7109375" style="138" customWidth="1"/>
    <col min="8980" max="8980" width="4.7109375" style="138" customWidth="1"/>
    <col min="8981" max="8982" width="10.7109375" style="138" customWidth="1"/>
    <col min="8983" max="9225" width="9.140625" style="138"/>
    <col min="9226" max="9227" width="10.7109375" style="138" customWidth="1"/>
    <col min="9228" max="9228" width="4.7109375" style="138" customWidth="1"/>
    <col min="9229" max="9230" width="10.7109375" style="138" customWidth="1"/>
    <col min="9231" max="9231" width="4.7109375" style="138" customWidth="1"/>
    <col min="9232" max="9235" width="10.7109375" style="138" customWidth="1"/>
    <col min="9236" max="9236" width="4.7109375" style="138" customWidth="1"/>
    <col min="9237" max="9238" width="10.7109375" style="138" customWidth="1"/>
    <col min="9239" max="9481" width="9.140625" style="138"/>
    <col min="9482" max="9483" width="10.7109375" style="138" customWidth="1"/>
    <col min="9484" max="9484" width="4.7109375" style="138" customWidth="1"/>
    <col min="9485" max="9486" width="10.7109375" style="138" customWidth="1"/>
    <col min="9487" max="9487" width="4.7109375" style="138" customWidth="1"/>
    <col min="9488" max="9491" width="10.7109375" style="138" customWidth="1"/>
    <col min="9492" max="9492" width="4.7109375" style="138" customWidth="1"/>
    <col min="9493" max="9494" width="10.7109375" style="138" customWidth="1"/>
    <col min="9495" max="9737" width="9.140625" style="138"/>
    <col min="9738" max="9739" width="10.7109375" style="138" customWidth="1"/>
    <col min="9740" max="9740" width="4.7109375" style="138" customWidth="1"/>
    <col min="9741" max="9742" width="10.7109375" style="138" customWidth="1"/>
    <col min="9743" max="9743" width="4.7109375" style="138" customWidth="1"/>
    <col min="9744" max="9747" width="10.7109375" style="138" customWidth="1"/>
    <col min="9748" max="9748" width="4.7109375" style="138" customWidth="1"/>
    <col min="9749" max="9750" width="10.7109375" style="138" customWidth="1"/>
    <col min="9751" max="9993" width="9.140625" style="138"/>
    <col min="9994" max="9995" width="10.7109375" style="138" customWidth="1"/>
    <col min="9996" max="9996" width="4.7109375" style="138" customWidth="1"/>
    <col min="9997" max="9998" width="10.7109375" style="138" customWidth="1"/>
    <col min="9999" max="9999" width="4.7109375" style="138" customWidth="1"/>
    <col min="10000" max="10003" width="10.7109375" style="138" customWidth="1"/>
    <col min="10004" max="10004" width="4.7109375" style="138" customWidth="1"/>
    <col min="10005" max="10006" width="10.7109375" style="138" customWidth="1"/>
    <col min="10007" max="10249" width="9.140625" style="138"/>
    <col min="10250" max="10251" width="10.7109375" style="138" customWidth="1"/>
    <col min="10252" max="10252" width="4.7109375" style="138" customWidth="1"/>
    <col min="10253" max="10254" width="10.7109375" style="138" customWidth="1"/>
    <col min="10255" max="10255" width="4.7109375" style="138" customWidth="1"/>
    <col min="10256" max="10259" width="10.7109375" style="138" customWidth="1"/>
    <col min="10260" max="10260" width="4.7109375" style="138" customWidth="1"/>
    <col min="10261" max="10262" width="10.7109375" style="138" customWidth="1"/>
    <col min="10263" max="10505" width="9.140625" style="138"/>
    <col min="10506" max="10507" width="10.7109375" style="138" customWidth="1"/>
    <col min="10508" max="10508" width="4.7109375" style="138" customWidth="1"/>
    <col min="10509" max="10510" width="10.7109375" style="138" customWidth="1"/>
    <col min="10511" max="10511" width="4.7109375" style="138" customWidth="1"/>
    <col min="10512" max="10515" width="10.7109375" style="138" customWidth="1"/>
    <col min="10516" max="10516" width="4.7109375" style="138" customWidth="1"/>
    <col min="10517" max="10518" width="10.7109375" style="138" customWidth="1"/>
    <col min="10519" max="10761" width="9.140625" style="138"/>
    <col min="10762" max="10763" width="10.7109375" style="138" customWidth="1"/>
    <col min="10764" max="10764" width="4.7109375" style="138" customWidth="1"/>
    <col min="10765" max="10766" width="10.7109375" style="138" customWidth="1"/>
    <col min="10767" max="10767" width="4.7109375" style="138" customWidth="1"/>
    <col min="10768" max="10771" width="10.7109375" style="138" customWidth="1"/>
    <col min="10772" max="10772" width="4.7109375" style="138" customWidth="1"/>
    <col min="10773" max="10774" width="10.7109375" style="138" customWidth="1"/>
    <col min="10775" max="11017" width="9.140625" style="138"/>
    <col min="11018" max="11019" width="10.7109375" style="138" customWidth="1"/>
    <col min="11020" max="11020" width="4.7109375" style="138" customWidth="1"/>
    <col min="11021" max="11022" width="10.7109375" style="138" customWidth="1"/>
    <col min="11023" max="11023" width="4.7109375" style="138" customWidth="1"/>
    <col min="11024" max="11027" width="10.7109375" style="138" customWidth="1"/>
    <col min="11028" max="11028" width="4.7109375" style="138" customWidth="1"/>
    <col min="11029" max="11030" width="10.7109375" style="138" customWidth="1"/>
    <col min="11031" max="11273" width="9.140625" style="138"/>
    <col min="11274" max="11275" width="10.7109375" style="138" customWidth="1"/>
    <col min="11276" max="11276" width="4.7109375" style="138" customWidth="1"/>
    <col min="11277" max="11278" width="10.7109375" style="138" customWidth="1"/>
    <col min="11279" max="11279" width="4.7109375" style="138" customWidth="1"/>
    <col min="11280" max="11283" width="10.7109375" style="138" customWidth="1"/>
    <col min="11284" max="11284" width="4.7109375" style="138" customWidth="1"/>
    <col min="11285" max="11286" width="10.7109375" style="138" customWidth="1"/>
    <col min="11287" max="11529" width="9.140625" style="138"/>
    <col min="11530" max="11531" width="10.7109375" style="138" customWidth="1"/>
    <col min="11532" max="11532" width="4.7109375" style="138" customWidth="1"/>
    <col min="11533" max="11534" width="10.7109375" style="138" customWidth="1"/>
    <col min="11535" max="11535" width="4.7109375" style="138" customWidth="1"/>
    <col min="11536" max="11539" width="10.7109375" style="138" customWidth="1"/>
    <col min="11540" max="11540" width="4.7109375" style="138" customWidth="1"/>
    <col min="11541" max="11542" width="10.7109375" style="138" customWidth="1"/>
    <col min="11543" max="11785" width="9.140625" style="138"/>
    <col min="11786" max="11787" width="10.7109375" style="138" customWidth="1"/>
    <col min="11788" max="11788" width="4.7109375" style="138" customWidth="1"/>
    <col min="11789" max="11790" width="10.7109375" style="138" customWidth="1"/>
    <col min="11791" max="11791" width="4.7109375" style="138" customWidth="1"/>
    <col min="11792" max="11795" width="10.7109375" style="138" customWidth="1"/>
    <col min="11796" max="11796" width="4.7109375" style="138" customWidth="1"/>
    <col min="11797" max="11798" width="10.7109375" style="138" customWidth="1"/>
    <col min="11799" max="12041" width="9.140625" style="138"/>
    <col min="12042" max="12043" width="10.7109375" style="138" customWidth="1"/>
    <col min="12044" max="12044" width="4.7109375" style="138" customWidth="1"/>
    <col min="12045" max="12046" width="10.7109375" style="138" customWidth="1"/>
    <col min="12047" max="12047" width="4.7109375" style="138" customWidth="1"/>
    <col min="12048" max="12051" width="10.7109375" style="138" customWidth="1"/>
    <col min="12052" max="12052" width="4.7109375" style="138" customWidth="1"/>
    <col min="12053" max="12054" width="10.7109375" style="138" customWidth="1"/>
    <col min="12055" max="12297" width="9.140625" style="138"/>
    <col min="12298" max="12299" width="10.7109375" style="138" customWidth="1"/>
    <col min="12300" max="12300" width="4.7109375" style="138" customWidth="1"/>
    <col min="12301" max="12302" width="10.7109375" style="138" customWidth="1"/>
    <col min="12303" max="12303" width="4.7109375" style="138" customWidth="1"/>
    <col min="12304" max="12307" width="10.7109375" style="138" customWidth="1"/>
    <col min="12308" max="12308" width="4.7109375" style="138" customWidth="1"/>
    <col min="12309" max="12310" width="10.7109375" style="138" customWidth="1"/>
    <col min="12311" max="12553" width="9.140625" style="138"/>
    <col min="12554" max="12555" width="10.7109375" style="138" customWidth="1"/>
    <col min="12556" max="12556" width="4.7109375" style="138" customWidth="1"/>
    <col min="12557" max="12558" width="10.7109375" style="138" customWidth="1"/>
    <col min="12559" max="12559" width="4.7109375" style="138" customWidth="1"/>
    <col min="12560" max="12563" width="10.7109375" style="138" customWidth="1"/>
    <col min="12564" max="12564" width="4.7109375" style="138" customWidth="1"/>
    <col min="12565" max="12566" width="10.7109375" style="138" customWidth="1"/>
    <col min="12567" max="12809" width="9.140625" style="138"/>
    <col min="12810" max="12811" width="10.7109375" style="138" customWidth="1"/>
    <col min="12812" max="12812" width="4.7109375" style="138" customWidth="1"/>
    <col min="12813" max="12814" width="10.7109375" style="138" customWidth="1"/>
    <col min="12815" max="12815" width="4.7109375" style="138" customWidth="1"/>
    <col min="12816" max="12819" width="10.7109375" style="138" customWidth="1"/>
    <col min="12820" max="12820" width="4.7109375" style="138" customWidth="1"/>
    <col min="12821" max="12822" width="10.7109375" style="138" customWidth="1"/>
    <col min="12823" max="13065" width="9.140625" style="138"/>
    <col min="13066" max="13067" width="10.7109375" style="138" customWidth="1"/>
    <col min="13068" max="13068" width="4.7109375" style="138" customWidth="1"/>
    <col min="13069" max="13070" width="10.7109375" style="138" customWidth="1"/>
    <col min="13071" max="13071" width="4.7109375" style="138" customWidth="1"/>
    <col min="13072" max="13075" width="10.7109375" style="138" customWidth="1"/>
    <col min="13076" max="13076" width="4.7109375" style="138" customWidth="1"/>
    <col min="13077" max="13078" width="10.7109375" style="138" customWidth="1"/>
    <col min="13079" max="13321" width="9.140625" style="138"/>
    <col min="13322" max="13323" width="10.7109375" style="138" customWidth="1"/>
    <col min="13324" max="13324" width="4.7109375" style="138" customWidth="1"/>
    <col min="13325" max="13326" width="10.7109375" style="138" customWidth="1"/>
    <col min="13327" max="13327" width="4.7109375" style="138" customWidth="1"/>
    <col min="13328" max="13331" width="10.7109375" style="138" customWidth="1"/>
    <col min="13332" max="13332" width="4.7109375" style="138" customWidth="1"/>
    <col min="13333" max="13334" width="10.7109375" style="138" customWidth="1"/>
    <col min="13335" max="13577" width="9.140625" style="138"/>
    <col min="13578" max="13579" width="10.7109375" style="138" customWidth="1"/>
    <col min="13580" max="13580" width="4.7109375" style="138" customWidth="1"/>
    <col min="13581" max="13582" width="10.7109375" style="138" customWidth="1"/>
    <col min="13583" max="13583" width="4.7109375" style="138" customWidth="1"/>
    <col min="13584" max="13587" width="10.7109375" style="138" customWidth="1"/>
    <col min="13588" max="13588" width="4.7109375" style="138" customWidth="1"/>
    <col min="13589" max="13590" width="10.7109375" style="138" customWidth="1"/>
    <col min="13591" max="13833" width="9.140625" style="138"/>
    <col min="13834" max="13835" width="10.7109375" style="138" customWidth="1"/>
    <col min="13836" max="13836" width="4.7109375" style="138" customWidth="1"/>
    <col min="13837" max="13838" width="10.7109375" style="138" customWidth="1"/>
    <col min="13839" max="13839" width="4.7109375" style="138" customWidth="1"/>
    <col min="13840" max="13843" width="10.7109375" style="138" customWidth="1"/>
    <col min="13844" max="13844" width="4.7109375" style="138" customWidth="1"/>
    <col min="13845" max="13846" width="10.7109375" style="138" customWidth="1"/>
    <col min="13847" max="14089" width="9.140625" style="138"/>
    <col min="14090" max="14091" width="10.7109375" style="138" customWidth="1"/>
    <col min="14092" max="14092" width="4.7109375" style="138" customWidth="1"/>
    <col min="14093" max="14094" width="10.7109375" style="138" customWidth="1"/>
    <col min="14095" max="14095" width="4.7109375" style="138" customWidth="1"/>
    <col min="14096" max="14099" width="10.7109375" style="138" customWidth="1"/>
    <col min="14100" max="14100" width="4.7109375" style="138" customWidth="1"/>
    <col min="14101" max="14102" width="10.7109375" style="138" customWidth="1"/>
    <col min="14103" max="14345" width="9.140625" style="138"/>
    <col min="14346" max="14347" width="10.7109375" style="138" customWidth="1"/>
    <col min="14348" max="14348" width="4.7109375" style="138" customWidth="1"/>
    <col min="14349" max="14350" width="10.7109375" style="138" customWidth="1"/>
    <col min="14351" max="14351" width="4.7109375" style="138" customWidth="1"/>
    <col min="14352" max="14355" width="10.7109375" style="138" customWidth="1"/>
    <col min="14356" max="14356" width="4.7109375" style="138" customWidth="1"/>
    <col min="14357" max="14358" width="10.7109375" style="138" customWidth="1"/>
    <col min="14359" max="14601" width="9.140625" style="138"/>
    <col min="14602" max="14603" width="10.7109375" style="138" customWidth="1"/>
    <col min="14604" max="14604" width="4.7109375" style="138" customWidth="1"/>
    <col min="14605" max="14606" width="10.7109375" style="138" customWidth="1"/>
    <col min="14607" max="14607" width="4.7109375" style="138" customWidth="1"/>
    <col min="14608" max="14611" width="10.7109375" style="138" customWidth="1"/>
    <col min="14612" max="14612" width="4.7109375" style="138" customWidth="1"/>
    <col min="14613" max="14614" width="10.7109375" style="138" customWidth="1"/>
    <col min="14615" max="14857" width="9.140625" style="138"/>
    <col min="14858" max="14859" width="10.7109375" style="138" customWidth="1"/>
    <col min="14860" max="14860" width="4.7109375" style="138" customWidth="1"/>
    <col min="14861" max="14862" width="10.7109375" style="138" customWidth="1"/>
    <col min="14863" max="14863" width="4.7109375" style="138" customWidth="1"/>
    <col min="14864" max="14867" width="10.7109375" style="138" customWidth="1"/>
    <col min="14868" max="14868" width="4.7109375" style="138" customWidth="1"/>
    <col min="14869" max="14870" width="10.7109375" style="138" customWidth="1"/>
    <col min="14871" max="15113" width="9.140625" style="138"/>
    <col min="15114" max="15115" width="10.7109375" style="138" customWidth="1"/>
    <col min="15116" max="15116" width="4.7109375" style="138" customWidth="1"/>
    <col min="15117" max="15118" width="10.7109375" style="138" customWidth="1"/>
    <col min="15119" max="15119" width="4.7109375" style="138" customWidth="1"/>
    <col min="15120" max="15123" width="10.7109375" style="138" customWidth="1"/>
    <col min="15124" max="15124" width="4.7109375" style="138" customWidth="1"/>
    <col min="15125" max="15126" width="10.7109375" style="138" customWidth="1"/>
    <col min="15127" max="15369" width="9.140625" style="138"/>
    <col min="15370" max="15371" width="10.7109375" style="138" customWidth="1"/>
    <col min="15372" max="15372" width="4.7109375" style="138" customWidth="1"/>
    <col min="15373" max="15374" width="10.7109375" style="138" customWidth="1"/>
    <col min="15375" max="15375" width="4.7109375" style="138" customWidth="1"/>
    <col min="15376" max="15379" width="10.7109375" style="138" customWidth="1"/>
    <col min="15380" max="15380" width="4.7109375" style="138" customWidth="1"/>
    <col min="15381" max="15382" width="10.7109375" style="138" customWidth="1"/>
    <col min="15383" max="15625" width="9.140625" style="138"/>
    <col min="15626" max="15627" width="10.7109375" style="138" customWidth="1"/>
    <col min="15628" max="15628" width="4.7109375" style="138" customWidth="1"/>
    <col min="15629" max="15630" width="10.7109375" style="138" customWidth="1"/>
    <col min="15631" max="15631" width="4.7109375" style="138" customWidth="1"/>
    <col min="15632" max="15635" width="10.7109375" style="138" customWidth="1"/>
    <col min="15636" max="15636" width="4.7109375" style="138" customWidth="1"/>
    <col min="15637" max="15638" width="10.7109375" style="138" customWidth="1"/>
    <col min="15639" max="15881" width="9.140625" style="138"/>
    <col min="15882" max="15883" width="10.7109375" style="138" customWidth="1"/>
    <col min="15884" max="15884" width="4.7109375" style="138" customWidth="1"/>
    <col min="15885" max="15886" width="10.7109375" style="138" customWidth="1"/>
    <col min="15887" max="15887" width="4.7109375" style="138" customWidth="1"/>
    <col min="15888" max="15891" width="10.7109375" style="138" customWidth="1"/>
    <col min="15892" max="15892" width="4.7109375" style="138" customWidth="1"/>
    <col min="15893" max="15894" width="10.7109375" style="138" customWidth="1"/>
    <col min="15895" max="16137" width="9.140625" style="138"/>
    <col min="16138" max="16139" width="10.7109375" style="138" customWidth="1"/>
    <col min="16140" max="16140" width="4.7109375" style="138" customWidth="1"/>
    <col min="16141" max="16142" width="10.7109375" style="138" customWidth="1"/>
    <col min="16143" max="16143" width="4.7109375" style="138" customWidth="1"/>
    <col min="16144" max="16147" width="10.7109375" style="138" customWidth="1"/>
    <col min="16148" max="16148" width="4.7109375" style="138" customWidth="1"/>
    <col min="16149" max="16150" width="10.7109375" style="138" customWidth="1"/>
    <col min="16151" max="16384" width="9.140625" style="138"/>
  </cols>
  <sheetData>
    <row r="1" spans="1:21">
      <c r="I1" s="139" t="s">
        <v>79</v>
      </c>
      <c r="N1" s="140"/>
      <c r="O1" s="140"/>
      <c r="P1" s="140"/>
      <c r="R1" s="139"/>
      <c r="S1" s="139"/>
      <c r="T1" s="141"/>
    </row>
    <row r="2" spans="1:21">
      <c r="I2" s="139" t="s">
        <v>80</v>
      </c>
      <c r="N2" s="140"/>
      <c r="O2" s="140"/>
      <c r="P2" s="140"/>
      <c r="R2" s="139"/>
      <c r="S2" s="139"/>
      <c r="T2" s="141"/>
    </row>
    <row r="6" spans="1:21">
      <c r="A6" s="533" t="s">
        <v>81</v>
      </c>
      <c r="B6" s="533"/>
      <c r="C6" s="142"/>
      <c r="D6" s="533" t="s">
        <v>82</v>
      </c>
      <c r="E6" s="533"/>
      <c r="F6" s="142"/>
      <c r="G6" s="534" t="s">
        <v>83</v>
      </c>
      <c r="H6" s="535"/>
      <c r="I6" s="143"/>
      <c r="J6" s="533" t="s">
        <v>84</v>
      </c>
      <c r="K6" s="533"/>
      <c r="L6" s="144"/>
      <c r="M6" s="533" t="s">
        <v>85</v>
      </c>
      <c r="N6" s="533"/>
      <c r="O6" s="144"/>
      <c r="P6" s="533" t="s">
        <v>86</v>
      </c>
      <c r="Q6" s="533"/>
    </row>
    <row r="7" spans="1:21">
      <c r="A7" s="532" t="s">
        <v>87</v>
      </c>
      <c r="B7" s="532"/>
      <c r="C7" s="145"/>
      <c r="D7" s="532" t="s">
        <v>88</v>
      </c>
      <c r="E7" s="532"/>
      <c r="F7" s="145"/>
      <c r="G7" s="536" t="s">
        <v>88</v>
      </c>
      <c r="H7" s="537"/>
      <c r="I7" s="143"/>
      <c r="J7" s="532" t="s">
        <v>89</v>
      </c>
      <c r="K7" s="538"/>
      <c r="L7" s="146"/>
      <c r="M7" s="532" t="s">
        <v>88</v>
      </c>
      <c r="N7" s="532"/>
      <c r="O7" s="146"/>
      <c r="P7" s="532" t="s">
        <v>90</v>
      </c>
      <c r="Q7" s="532"/>
    </row>
    <row r="8" spans="1:21">
      <c r="A8" s="146"/>
      <c r="B8" s="146"/>
      <c r="C8" s="146"/>
      <c r="D8" s="146"/>
      <c r="E8" s="146"/>
      <c r="F8" s="146"/>
      <c r="G8" s="146"/>
      <c r="H8" s="143"/>
      <c r="I8" s="143"/>
      <c r="J8" s="146"/>
      <c r="K8" s="146"/>
      <c r="L8" s="146"/>
      <c r="M8" s="146"/>
      <c r="N8" s="146"/>
      <c r="O8" s="146"/>
      <c r="P8" s="146"/>
      <c r="Q8" s="146"/>
    </row>
    <row r="9" spans="1:21">
      <c r="A9" s="147" t="s">
        <v>91</v>
      </c>
      <c r="B9" s="147" t="s">
        <v>92</v>
      </c>
      <c r="C9" s="147"/>
      <c r="D9" s="142" t="s">
        <v>93</v>
      </c>
      <c r="E9" s="147" t="s">
        <v>94</v>
      </c>
      <c r="F9" s="144"/>
      <c r="G9" s="147" t="s">
        <v>95</v>
      </c>
      <c r="H9" s="148" t="s">
        <v>94</v>
      </c>
      <c r="I9" s="143"/>
      <c r="J9" s="147" t="s">
        <v>96</v>
      </c>
      <c r="K9" s="147" t="s">
        <v>97</v>
      </c>
      <c r="L9" s="144"/>
      <c r="M9" s="147" t="s">
        <v>96</v>
      </c>
      <c r="N9" s="147" t="s">
        <v>97</v>
      </c>
      <c r="O9" s="144"/>
      <c r="P9" s="147" t="s">
        <v>96</v>
      </c>
      <c r="Q9" s="147" t="s">
        <v>97</v>
      </c>
    </row>
    <row r="10" spans="1:21">
      <c r="C10" s="149"/>
      <c r="D10" s="149"/>
      <c r="E10" s="149"/>
      <c r="F10" s="149"/>
      <c r="H10" s="149"/>
      <c r="I10" s="149"/>
      <c r="J10" s="149"/>
    </row>
    <row r="11" spans="1:21">
      <c r="A11" s="150">
        <v>0</v>
      </c>
      <c r="B11" s="151">
        <f>A11*0.03</f>
        <v>0</v>
      </c>
      <c r="C11" s="152"/>
      <c r="D11" s="153">
        <f>A11</f>
        <v>0</v>
      </c>
      <c r="E11" s="152">
        <f>D11*0.06</f>
        <v>0</v>
      </c>
      <c r="F11" s="152"/>
      <c r="G11" s="150">
        <f>A11</f>
        <v>0</v>
      </c>
      <c r="H11" s="154">
        <f>G11*0.08</f>
        <v>0</v>
      </c>
      <c r="I11" s="155"/>
      <c r="J11" s="156">
        <f>A11</f>
        <v>0</v>
      </c>
      <c r="K11" s="151">
        <f>A11*0.09</f>
        <v>0</v>
      </c>
      <c r="L11" s="150"/>
      <c r="M11" s="150">
        <f>A11</f>
        <v>0</v>
      </c>
      <c r="N11" s="157">
        <f>M11*0.1</f>
        <v>0</v>
      </c>
      <c r="O11" s="158"/>
      <c r="P11" s="150">
        <f>A11</f>
        <v>0</v>
      </c>
      <c r="Q11" s="151">
        <f>P11*0.12</f>
        <v>0</v>
      </c>
    </row>
    <row r="12" spans="1:21" ht="12.75" thickBot="1">
      <c r="A12" s="159"/>
      <c r="B12" s="160"/>
      <c r="C12" s="160"/>
      <c r="D12" s="160"/>
      <c r="E12" s="160"/>
      <c r="F12" s="161"/>
      <c r="G12" s="159"/>
      <c r="H12" s="162"/>
      <c r="I12" s="162"/>
      <c r="J12" s="159"/>
      <c r="K12" s="160"/>
      <c r="L12" s="159"/>
      <c r="M12" s="159"/>
      <c r="N12" s="159"/>
      <c r="O12" s="159"/>
      <c r="P12" s="159"/>
      <c r="Q12" s="160"/>
    </row>
    <row r="13" spans="1:21">
      <c r="K13" s="163"/>
      <c r="Q13" s="163"/>
      <c r="U13" s="163"/>
    </row>
    <row r="14" spans="1:21">
      <c r="A14" s="164" t="s">
        <v>98</v>
      </c>
      <c r="B14" s="165"/>
      <c r="C14" s="165"/>
      <c r="D14" s="165"/>
      <c r="E14" s="165"/>
      <c r="F14" s="165"/>
      <c r="G14" s="165"/>
      <c r="H14" s="165"/>
      <c r="I14" s="165"/>
      <c r="J14" s="164"/>
      <c r="K14" s="164"/>
      <c r="L14" s="164"/>
      <c r="M14" s="164"/>
      <c r="N14" s="165"/>
      <c r="O14" s="165"/>
      <c r="P14" s="164"/>
      <c r="Q14" s="164"/>
      <c r="R14" s="165"/>
      <c r="S14" s="164"/>
    </row>
    <row r="15" spans="1:21">
      <c r="A15" s="164"/>
      <c r="B15" s="165"/>
      <c r="C15" s="165"/>
      <c r="D15" s="165"/>
      <c r="E15" s="165"/>
      <c r="F15" s="165"/>
      <c r="G15" s="165"/>
      <c r="H15" s="165"/>
      <c r="I15" s="165"/>
      <c r="J15" s="164"/>
      <c r="K15" s="164"/>
      <c r="L15" s="164"/>
      <c r="M15" s="164"/>
      <c r="N15" s="165"/>
      <c r="O15" s="165"/>
      <c r="P15" s="164"/>
      <c r="Q15" s="164"/>
      <c r="R15" s="165"/>
      <c r="S15" s="164"/>
    </row>
    <row r="16" spans="1:21">
      <c r="A16" s="164" t="s">
        <v>99</v>
      </c>
      <c r="B16" s="165"/>
      <c r="C16" s="165"/>
      <c r="D16" s="165"/>
      <c r="E16" s="165"/>
      <c r="F16" s="165"/>
      <c r="G16" s="165"/>
      <c r="H16" s="165"/>
      <c r="I16" s="165"/>
      <c r="J16" s="164"/>
      <c r="K16" s="164"/>
      <c r="L16" s="164"/>
      <c r="M16" s="164"/>
      <c r="N16" s="165"/>
      <c r="O16" s="165"/>
      <c r="P16" s="164"/>
      <c r="Q16" s="164"/>
      <c r="R16" s="165"/>
      <c r="S16" s="164"/>
    </row>
    <row r="17" spans="1:19">
      <c r="A17" s="164" t="s">
        <v>100</v>
      </c>
      <c r="B17" s="165"/>
      <c r="C17" s="165"/>
      <c r="D17" s="165"/>
      <c r="E17" s="165"/>
      <c r="F17" s="165"/>
      <c r="G17" s="165"/>
      <c r="H17" s="165"/>
      <c r="I17" s="165"/>
      <c r="J17" s="164"/>
      <c r="K17" s="164"/>
      <c r="L17" s="164"/>
      <c r="M17" s="164"/>
      <c r="N17" s="165"/>
      <c r="O17" s="165"/>
      <c r="P17" s="164"/>
      <c r="Q17" s="164"/>
      <c r="R17" s="165"/>
      <c r="S17" s="164"/>
    </row>
    <row r="18" spans="1:19">
      <c r="B18" s="163"/>
      <c r="C18" s="163"/>
      <c r="D18" s="163"/>
      <c r="E18" s="163"/>
      <c r="F18" s="163"/>
      <c r="G18" s="163"/>
      <c r="H18" s="163"/>
      <c r="I18" s="163"/>
      <c r="N18" s="163"/>
      <c r="O18" s="163"/>
      <c r="R18" s="163"/>
    </row>
    <row r="19" spans="1:19">
      <c r="B19" s="163"/>
      <c r="C19" s="163"/>
      <c r="D19" s="163"/>
      <c r="E19" s="163"/>
      <c r="F19" s="163"/>
      <c r="G19" s="163"/>
      <c r="H19" s="163"/>
      <c r="I19" s="163"/>
      <c r="N19" s="163"/>
      <c r="O19" s="163"/>
      <c r="R19" s="163"/>
    </row>
    <row r="20" spans="1:19">
      <c r="A20" s="166" t="s">
        <v>101</v>
      </c>
      <c r="N20" s="163"/>
      <c r="O20" s="163"/>
      <c r="R20" s="163"/>
    </row>
    <row r="21" spans="1:19">
      <c r="A21" s="166" t="s">
        <v>102</v>
      </c>
      <c r="N21" s="163"/>
      <c r="O21" s="163"/>
      <c r="R21" s="163"/>
    </row>
    <row r="22" spans="1:19">
      <c r="A22" s="166"/>
      <c r="N22" s="163"/>
      <c r="O22" s="163"/>
      <c r="R22" s="163"/>
    </row>
    <row r="23" spans="1:19">
      <c r="A23" s="166" t="s">
        <v>103</v>
      </c>
      <c r="C23" s="167" t="s">
        <v>104</v>
      </c>
      <c r="E23" s="166" t="s">
        <v>105</v>
      </c>
      <c r="G23" s="166" t="s">
        <v>106</v>
      </c>
      <c r="H23" s="167"/>
      <c r="N23" s="163"/>
    </row>
    <row r="24" spans="1:19">
      <c r="A24" s="166" t="s">
        <v>107</v>
      </c>
      <c r="C24" s="167" t="s">
        <v>108</v>
      </c>
      <c r="E24" s="166" t="s">
        <v>109</v>
      </c>
      <c r="G24" s="166" t="s">
        <v>110</v>
      </c>
      <c r="H24" s="167"/>
      <c r="N24" s="163"/>
    </row>
    <row r="25" spans="1:19">
      <c r="A25" s="166" t="s">
        <v>111</v>
      </c>
      <c r="C25" s="167" t="s">
        <v>112</v>
      </c>
      <c r="E25" s="166" t="s">
        <v>113</v>
      </c>
      <c r="G25" s="166" t="s">
        <v>114</v>
      </c>
      <c r="H25" s="167"/>
      <c r="N25" s="163"/>
    </row>
    <row r="26" spans="1:19">
      <c r="A26" s="166" t="s">
        <v>78</v>
      </c>
      <c r="N26" s="163"/>
      <c r="O26" s="163"/>
      <c r="R26" s="163"/>
    </row>
    <row r="27" spans="1:19">
      <c r="A27" s="166" t="s">
        <v>115</v>
      </c>
      <c r="N27" s="163"/>
      <c r="O27" s="163"/>
      <c r="R27" s="163"/>
    </row>
    <row r="28" spans="1:19">
      <c r="A28" s="166" t="s">
        <v>116</v>
      </c>
      <c r="N28" s="163"/>
      <c r="O28" s="163"/>
      <c r="R28" s="163"/>
    </row>
    <row r="29" spans="1:19">
      <c r="A29" s="168"/>
      <c r="N29" s="163"/>
      <c r="O29" s="163"/>
      <c r="R29" s="163"/>
    </row>
    <row r="30" spans="1:19">
      <c r="B30" s="168"/>
      <c r="C30" s="168"/>
      <c r="D30" s="168"/>
      <c r="E30" s="168"/>
      <c r="F30" s="168"/>
      <c r="G30" s="168"/>
      <c r="H30" s="168"/>
      <c r="I30" s="168"/>
      <c r="N30" s="163"/>
      <c r="O30" s="163"/>
      <c r="R30" s="163"/>
    </row>
    <row r="31" spans="1:19" ht="12.75">
      <c r="A31" s="168"/>
      <c r="D31" s="169" t="s">
        <v>117</v>
      </c>
      <c r="F31" s="170" t="s">
        <v>118</v>
      </c>
      <c r="G31" s="170"/>
      <c r="H31" s="170"/>
      <c r="I31" s="171"/>
      <c r="J31" s="170"/>
      <c r="K31" s="170"/>
      <c r="L31" s="170"/>
      <c r="M31" s="170"/>
      <c r="N31" s="170"/>
      <c r="O31" s="163"/>
    </row>
    <row r="32" spans="1:19" ht="12.75">
      <c r="A32" s="168"/>
      <c r="F32" s="170" t="s">
        <v>119</v>
      </c>
      <c r="G32" s="170"/>
      <c r="H32" s="170"/>
      <c r="I32" s="170"/>
      <c r="J32" s="170"/>
      <c r="K32" s="170"/>
      <c r="L32" s="170"/>
      <c r="M32" s="170"/>
      <c r="N32" s="170"/>
    </row>
    <row r="33" spans="4:14" ht="12.75">
      <c r="F33" s="170" t="s">
        <v>120</v>
      </c>
      <c r="G33" s="170"/>
      <c r="H33" s="170"/>
      <c r="I33" s="170"/>
      <c r="J33" s="170"/>
      <c r="K33" s="170"/>
      <c r="L33" s="170"/>
      <c r="M33" s="170"/>
      <c r="N33" s="170"/>
    </row>
    <row r="36" spans="4:14" ht="12.75">
      <c r="D36" s="138" t="s">
        <v>121</v>
      </c>
      <c r="F36" s="170" t="s">
        <v>122</v>
      </c>
      <c r="G36" s="170"/>
      <c r="H36" s="170"/>
      <c r="I36" s="170"/>
      <c r="J36" s="170"/>
      <c r="K36" s="170"/>
      <c r="L36" s="170"/>
      <c r="M36" s="170"/>
      <c r="N36" s="170"/>
    </row>
    <row r="37" spans="4:14" ht="12.75">
      <c r="F37" s="170" t="s">
        <v>123</v>
      </c>
      <c r="G37" s="170"/>
      <c r="H37" s="170"/>
      <c r="I37" s="170"/>
      <c r="J37" s="170"/>
      <c r="K37" s="170"/>
      <c r="L37" s="170"/>
      <c r="M37" s="170"/>
      <c r="N37" s="170"/>
    </row>
    <row r="38" spans="4:14" ht="12.75">
      <c r="F38" s="170" t="s">
        <v>124</v>
      </c>
      <c r="G38" s="170"/>
      <c r="H38" s="170"/>
      <c r="I38" s="170"/>
      <c r="J38" s="170"/>
      <c r="K38" s="170"/>
      <c r="L38" s="170"/>
      <c r="M38" s="170"/>
      <c r="N38" s="170"/>
    </row>
  </sheetData>
  <mergeCells count="12">
    <mergeCell ref="P7:Q7"/>
    <mergeCell ref="A6:B6"/>
    <mergeCell ref="D6:E6"/>
    <mergeCell ref="G6:H6"/>
    <mergeCell ref="J6:K6"/>
    <mergeCell ref="M6:N6"/>
    <mergeCell ref="P6:Q6"/>
    <mergeCell ref="A7:B7"/>
    <mergeCell ref="D7:E7"/>
    <mergeCell ref="G7:H7"/>
    <mergeCell ref="J7:K7"/>
    <mergeCell ref="M7:N7"/>
  </mergeCells>
  <pageMargins left="0.5" right="0.3" top="1" bottom="1" header="0.5" footer="0.5"/>
  <pageSetup scale="85" orientation="landscape" r:id="rId1"/>
  <headerFooter alignWithMargins="0">
    <oddFooter>&amp;L&amp;8Created by George Gardner
Latest Update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31" zoomScale="85" zoomScaleNormal="85" workbookViewId="0">
      <selection activeCell="A13" sqref="A13:C13"/>
    </sheetView>
  </sheetViews>
  <sheetFormatPr defaultColWidth="35.140625" defaultRowHeight="12.75"/>
  <cols>
    <col min="1" max="1" width="17.7109375" customWidth="1"/>
    <col min="2" max="2" width="36.42578125" customWidth="1"/>
    <col min="3" max="3" width="95" customWidth="1"/>
  </cols>
  <sheetData>
    <row r="1" spans="1:3" ht="17.25">
      <c r="A1" s="231" t="s">
        <v>206</v>
      </c>
    </row>
    <row r="2" spans="1:3" ht="17.25">
      <c r="A2" s="231" t="s">
        <v>207</v>
      </c>
    </row>
    <row r="4" spans="1:3" ht="15.75">
      <c r="A4" s="228" t="s">
        <v>208</v>
      </c>
      <c r="B4" s="270">
        <v>70.09</v>
      </c>
    </row>
    <row r="5" spans="1:3" ht="15.75">
      <c r="A5" s="228"/>
    </row>
    <row r="6" spans="1:3" ht="15.75">
      <c r="A6" s="228" t="s">
        <v>209</v>
      </c>
    </row>
    <row r="7" spans="1:3" ht="15.75">
      <c r="A7" s="228" t="s">
        <v>210</v>
      </c>
    </row>
    <row r="8" spans="1:3" ht="15.75">
      <c r="A8" s="228" t="s">
        <v>211</v>
      </c>
    </row>
    <row r="10" spans="1:3" ht="22.5">
      <c r="A10" s="232" t="s">
        <v>212</v>
      </c>
    </row>
    <row r="11" spans="1:3">
      <c r="A11" s="233" t="s">
        <v>213</v>
      </c>
    </row>
    <row r="12" spans="1:3" ht="15.75">
      <c r="A12" s="234" t="s">
        <v>214</v>
      </c>
    </row>
    <row r="13" spans="1:3" ht="64.5" customHeight="1">
      <c r="A13" s="542" t="s">
        <v>314</v>
      </c>
      <c r="B13" s="542"/>
      <c r="C13" s="542"/>
    </row>
    <row r="14" spans="1:3" ht="11.25" customHeight="1">
      <c r="A14" s="228"/>
    </row>
    <row r="15" spans="1:3" ht="15.75">
      <c r="A15" s="234" t="s">
        <v>215</v>
      </c>
    </row>
    <row r="16" spans="1:3" ht="15.75">
      <c r="A16" s="228" t="s">
        <v>216</v>
      </c>
    </row>
    <row r="17" spans="1:3" ht="15.75">
      <c r="A17" s="241" t="s">
        <v>217</v>
      </c>
      <c r="B17" s="235" t="s">
        <v>218</v>
      </c>
      <c r="C17" s="235" t="s">
        <v>219</v>
      </c>
    </row>
    <row r="18" spans="1:3" ht="31.5">
      <c r="A18" s="256" t="s">
        <v>267</v>
      </c>
      <c r="B18" s="236" t="s">
        <v>220</v>
      </c>
      <c r="C18" s="237" t="s">
        <v>221</v>
      </c>
    </row>
    <row r="19" spans="1:3" s="227" customFormat="1" ht="15.75">
      <c r="A19" s="256"/>
      <c r="B19" s="236"/>
      <c r="C19" s="237"/>
    </row>
    <row r="20" spans="1:3" ht="47.25">
      <c r="A20" s="256" t="s">
        <v>268</v>
      </c>
      <c r="B20" s="236" t="s">
        <v>8</v>
      </c>
      <c r="C20" s="237" t="s">
        <v>222</v>
      </c>
    </row>
    <row r="21" spans="1:3" s="227" customFormat="1" ht="15.75">
      <c r="A21" s="256"/>
      <c r="B21" s="236"/>
      <c r="C21" s="237"/>
    </row>
    <row r="22" spans="1:3" ht="31.5">
      <c r="A22" s="256" t="s">
        <v>269</v>
      </c>
      <c r="B22" s="236" t="s">
        <v>223</v>
      </c>
      <c r="C22" s="255" t="s">
        <v>282</v>
      </c>
    </row>
    <row r="23" spans="1:3" s="227" customFormat="1" ht="15.75">
      <c r="A23" s="256"/>
      <c r="B23" s="236"/>
      <c r="C23" s="238"/>
    </row>
    <row r="24" spans="1:3" s="227" customFormat="1" ht="126">
      <c r="A24" s="256" t="s">
        <v>270</v>
      </c>
      <c r="B24" s="236" t="s">
        <v>224</v>
      </c>
      <c r="C24" s="237" t="s">
        <v>274</v>
      </c>
    </row>
    <row r="25" spans="1:3" s="227" customFormat="1" ht="15.75">
      <c r="A25" s="248"/>
      <c r="B25" s="236"/>
      <c r="C25" s="238"/>
    </row>
    <row r="26" spans="1:3" s="227" customFormat="1" ht="94.5">
      <c r="A26" s="256" t="s">
        <v>271</v>
      </c>
      <c r="B26" s="236" t="s">
        <v>225</v>
      </c>
      <c r="C26" s="237" t="s">
        <v>275</v>
      </c>
    </row>
    <row r="27" spans="1:3" s="227" customFormat="1" ht="15.75">
      <c r="A27" s="248"/>
      <c r="B27" s="236"/>
      <c r="C27" s="237"/>
    </row>
    <row r="28" spans="1:3" ht="141.75">
      <c r="A28" s="540" t="s">
        <v>272</v>
      </c>
      <c r="B28" s="539" t="s">
        <v>226</v>
      </c>
      <c r="C28" s="237" t="s">
        <v>276</v>
      </c>
    </row>
    <row r="29" spans="1:3">
      <c r="A29" s="541"/>
      <c r="B29" s="539"/>
      <c r="C29" s="239"/>
    </row>
    <row r="30" spans="1:3" ht="252">
      <c r="A30" s="256" t="s">
        <v>273</v>
      </c>
      <c r="B30" s="236" t="s">
        <v>283</v>
      </c>
      <c r="C30" s="237" t="s">
        <v>277</v>
      </c>
    </row>
    <row r="31" spans="1:3" ht="15.75">
      <c r="A31" s="257"/>
      <c r="B31" s="237"/>
      <c r="C31" s="240"/>
    </row>
    <row r="32" spans="1:3" ht="141.75">
      <c r="A32" s="540" t="s">
        <v>278</v>
      </c>
      <c r="B32" s="539" t="s">
        <v>227</v>
      </c>
      <c r="C32" s="237" t="s">
        <v>280</v>
      </c>
    </row>
    <row r="33" spans="1:3">
      <c r="A33" s="541"/>
      <c r="B33" s="539"/>
      <c r="C33" s="239"/>
    </row>
    <row r="34" spans="1:3" ht="31.5">
      <c r="A34" s="256" t="s">
        <v>279</v>
      </c>
      <c r="B34" s="236" t="s">
        <v>228</v>
      </c>
      <c r="C34" s="237" t="s">
        <v>229</v>
      </c>
    </row>
    <row r="35" spans="1:3" s="227" customFormat="1" ht="15.75">
      <c r="A35" s="256"/>
      <c r="B35" s="236"/>
      <c r="C35" s="237"/>
    </row>
    <row r="36" spans="1:3" ht="31.5">
      <c r="A36" s="248">
        <v>11</v>
      </c>
      <c r="B36" s="236" t="s">
        <v>230</v>
      </c>
      <c r="C36" s="237" t="s">
        <v>231</v>
      </c>
    </row>
    <row r="37" spans="1:3" s="227" customFormat="1" ht="15.75">
      <c r="A37" s="248"/>
      <c r="B37" s="236"/>
      <c r="C37" s="237"/>
    </row>
    <row r="38" spans="1:3" ht="47.25">
      <c r="A38" s="248">
        <v>13</v>
      </c>
      <c r="B38" s="236" t="s">
        <v>232</v>
      </c>
      <c r="C38" s="237" t="s">
        <v>233</v>
      </c>
    </row>
    <row r="39" spans="1:3" s="227" customFormat="1" ht="15.75">
      <c r="A39" s="248"/>
      <c r="B39" s="236"/>
      <c r="C39" s="237"/>
    </row>
    <row r="40" spans="1:3" ht="31.5">
      <c r="A40" s="541">
        <v>15</v>
      </c>
      <c r="B40" s="539" t="s">
        <v>234</v>
      </c>
      <c r="C40" s="237" t="s">
        <v>235</v>
      </c>
    </row>
    <row r="41" spans="1:3" ht="31.5">
      <c r="A41" s="541"/>
      <c r="B41" s="539"/>
      <c r="C41" s="237" t="s">
        <v>236</v>
      </c>
    </row>
    <row r="42" spans="1:3" s="227" customFormat="1" ht="15.75">
      <c r="A42" s="248"/>
      <c r="B42" s="236"/>
      <c r="C42" s="237"/>
    </row>
    <row r="43" spans="1:3" ht="157.5">
      <c r="A43" s="248">
        <v>16</v>
      </c>
      <c r="B43" s="236" t="s">
        <v>237</v>
      </c>
      <c r="C43" s="237" t="s">
        <v>281</v>
      </c>
    </row>
    <row r="44" spans="1:3" ht="15.75">
      <c r="A44" s="248"/>
      <c r="B44" s="236"/>
      <c r="C44" s="239"/>
    </row>
    <row r="45" spans="1:3" ht="31.5">
      <c r="A45" s="248">
        <v>18</v>
      </c>
      <c r="B45" s="236" t="s">
        <v>238</v>
      </c>
      <c r="C45" s="237" t="s">
        <v>239</v>
      </c>
    </row>
    <row r="46" spans="1:3" s="227" customFormat="1" ht="15.75">
      <c r="A46" s="248"/>
      <c r="B46" s="236"/>
      <c r="C46" s="237"/>
    </row>
    <row r="47" spans="1:3" ht="15.75">
      <c r="A47" s="248">
        <v>19</v>
      </c>
      <c r="B47" s="236" t="s">
        <v>240</v>
      </c>
      <c r="C47" s="237" t="s">
        <v>241</v>
      </c>
    </row>
    <row r="48" spans="1:3" ht="15.75">
      <c r="A48" s="228"/>
    </row>
    <row r="50" spans="1:3" ht="15.75">
      <c r="A50" s="228"/>
    </row>
    <row r="51" spans="1:3" ht="15.75">
      <c r="A51" s="228"/>
    </row>
    <row r="52" spans="1:3" ht="15.75">
      <c r="A52" s="550" t="s">
        <v>242</v>
      </c>
      <c r="B52" s="551"/>
      <c r="C52" s="552"/>
    </row>
    <row r="53" spans="1:3" ht="15.75">
      <c r="A53" s="553" t="s">
        <v>243</v>
      </c>
      <c r="B53" s="554"/>
      <c r="C53" s="555"/>
    </row>
    <row r="54" spans="1:3" ht="15.75">
      <c r="A54" s="543" t="s">
        <v>244</v>
      </c>
      <c r="B54" s="544"/>
      <c r="C54" s="545"/>
    </row>
    <row r="55" spans="1:3" ht="15.75">
      <c r="A55" s="242" t="s">
        <v>245</v>
      </c>
      <c r="B55" s="546" t="s">
        <v>247</v>
      </c>
      <c r="C55" s="546" t="s">
        <v>248</v>
      </c>
    </row>
    <row r="56" spans="1:3" ht="15.75">
      <c r="A56" s="243" t="s">
        <v>246</v>
      </c>
      <c r="B56" s="547"/>
      <c r="C56" s="547"/>
    </row>
    <row r="57" spans="1:3" ht="31.5">
      <c r="A57" s="253" t="s">
        <v>270</v>
      </c>
      <c r="B57" s="245" t="s">
        <v>249</v>
      </c>
      <c r="C57" s="245" t="s">
        <v>250</v>
      </c>
    </row>
    <row r="58" spans="1:3" ht="15.75">
      <c r="A58" s="253" t="s">
        <v>270</v>
      </c>
      <c r="B58" s="245" t="s">
        <v>251</v>
      </c>
      <c r="C58" s="245" t="s">
        <v>250</v>
      </c>
    </row>
    <row r="59" spans="1:3" ht="31.5">
      <c r="A59" s="253" t="s">
        <v>270</v>
      </c>
      <c r="B59" s="245" t="s">
        <v>252</v>
      </c>
      <c r="C59" s="245" t="s">
        <v>253</v>
      </c>
    </row>
    <row r="60" spans="1:3" ht="31.5">
      <c r="A60" s="253" t="s">
        <v>270</v>
      </c>
      <c r="B60" s="245" t="s">
        <v>254</v>
      </c>
      <c r="C60" s="245" t="s">
        <v>253</v>
      </c>
    </row>
    <row r="61" spans="1:3" ht="15.75">
      <c r="A61" s="253" t="s">
        <v>273</v>
      </c>
      <c r="B61" s="245" t="s">
        <v>255</v>
      </c>
      <c r="C61" s="245" t="s">
        <v>256</v>
      </c>
    </row>
    <row r="62" spans="1:3" ht="31.5">
      <c r="A62" s="253" t="s">
        <v>273</v>
      </c>
      <c r="B62" s="245" t="s">
        <v>252</v>
      </c>
      <c r="C62" s="245" t="s">
        <v>256</v>
      </c>
    </row>
    <row r="63" spans="1:3" ht="31.5">
      <c r="A63" s="244">
        <v>16</v>
      </c>
      <c r="B63" s="245" t="s">
        <v>257</v>
      </c>
      <c r="C63" s="245" t="s">
        <v>253</v>
      </c>
    </row>
    <row r="64" spans="1:3" ht="15.75">
      <c r="A64" s="228"/>
    </row>
    <row r="65" spans="1:4" ht="15.75">
      <c r="A65" s="550" t="s">
        <v>258</v>
      </c>
      <c r="B65" s="551"/>
      <c r="C65" s="551"/>
      <c r="D65" s="552"/>
    </row>
    <row r="66" spans="1:4" ht="15.75">
      <c r="A66" s="543" t="s">
        <v>244</v>
      </c>
      <c r="B66" s="544"/>
      <c r="C66" s="544"/>
      <c r="D66" s="545"/>
    </row>
    <row r="67" spans="1:4" ht="15.75">
      <c r="A67" s="242" t="s">
        <v>245</v>
      </c>
      <c r="B67" s="546" t="s">
        <v>247</v>
      </c>
      <c r="C67" s="548" t="s">
        <v>248</v>
      </c>
      <c r="D67" s="546" t="s">
        <v>259</v>
      </c>
    </row>
    <row r="68" spans="1:4" ht="15.75">
      <c r="A68" s="243" t="s">
        <v>246</v>
      </c>
      <c r="B68" s="547"/>
      <c r="C68" s="549"/>
      <c r="D68" s="547"/>
    </row>
    <row r="69" spans="1:4" ht="31.5">
      <c r="A69" s="253" t="s">
        <v>270</v>
      </c>
      <c r="B69" s="245" t="s">
        <v>249</v>
      </c>
      <c r="C69" s="246" t="s">
        <v>250</v>
      </c>
      <c r="D69" s="247"/>
    </row>
    <row r="70" spans="1:4" ht="15.75">
      <c r="A70" s="253" t="s">
        <v>270</v>
      </c>
      <c r="B70" s="245" t="s">
        <v>251</v>
      </c>
      <c r="C70" s="246" t="s">
        <v>250</v>
      </c>
      <c r="D70" s="247"/>
    </row>
    <row r="71" spans="1:4" ht="31.5">
      <c r="A71" s="249" t="s">
        <v>270</v>
      </c>
      <c r="B71" s="250" t="s">
        <v>252</v>
      </c>
      <c r="C71" s="251" t="s">
        <v>253</v>
      </c>
      <c r="D71" s="250" t="s">
        <v>260</v>
      </c>
    </row>
    <row r="72" spans="1:4" ht="31.5">
      <c r="A72" s="249" t="s">
        <v>270</v>
      </c>
      <c r="B72" s="250" t="s">
        <v>261</v>
      </c>
      <c r="C72" s="251" t="s">
        <v>253</v>
      </c>
      <c r="D72" s="250" t="s">
        <v>260</v>
      </c>
    </row>
    <row r="73" spans="1:4" ht="31.5">
      <c r="A73" s="249" t="s">
        <v>270</v>
      </c>
      <c r="B73" s="250" t="s">
        <v>252</v>
      </c>
      <c r="C73" s="251" t="s">
        <v>256</v>
      </c>
      <c r="D73" s="252"/>
    </row>
    <row r="74" spans="1:4" ht="15.75">
      <c r="A74" s="254" t="s">
        <v>273</v>
      </c>
      <c r="B74" s="250" t="s">
        <v>255</v>
      </c>
      <c r="C74" s="251" t="s">
        <v>256</v>
      </c>
      <c r="D74" s="252"/>
    </row>
    <row r="75" spans="1:4" ht="31.5">
      <c r="A75" s="249">
        <v>16</v>
      </c>
      <c r="B75" s="250" t="s">
        <v>257</v>
      </c>
      <c r="C75" s="251" t="s">
        <v>253</v>
      </c>
      <c r="D75" s="252"/>
    </row>
    <row r="76" spans="1:4" ht="31.5">
      <c r="A76" s="249">
        <v>16</v>
      </c>
      <c r="B76" s="250" t="s">
        <v>252</v>
      </c>
      <c r="C76" s="251" t="s">
        <v>253</v>
      </c>
      <c r="D76" s="250" t="s">
        <v>260</v>
      </c>
    </row>
    <row r="77" spans="1:4" ht="31.5">
      <c r="A77" s="244">
        <v>16</v>
      </c>
      <c r="B77" s="245" t="s">
        <v>261</v>
      </c>
      <c r="C77" s="246" t="s">
        <v>253</v>
      </c>
      <c r="D77" s="245" t="s">
        <v>260</v>
      </c>
    </row>
    <row r="78" spans="1:4" ht="15.75">
      <c r="A78" s="234" t="s">
        <v>262</v>
      </c>
    </row>
    <row r="79" spans="1:4" ht="15.75">
      <c r="A79" s="228" t="s">
        <v>263</v>
      </c>
    </row>
    <row r="80" spans="1:4">
      <c r="A80" s="233" t="s">
        <v>264</v>
      </c>
    </row>
    <row r="81" spans="1:1" ht="15.75">
      <c r="A81" s="234" t="s">
        <v>265</v>
      </c>
    </row>
    <row r="82" spans="1:1">
      <c r="A82" s="233" t="s">
        <v>266</v>
      </c>
    </row>
  </sheetData>
  <mergeCells count="17">
    <mergeCell ref="B67:B68"/>
    <mergeCell ref="C67:C68"/>
    <mergeCell ref="D67:D68"/>
    <mergeCell ref="A52:C52"/>
    <mergeCell ref="A53:C53"/>
    <mergeCell ref="A54:C54"/>
    <mergeCell ref="B55:B56"/>
    <mergeCell ref="C55:C56"/>
    <mergeCell ref="A65:D65"/>
    <mergeCell ref="B40:B41"/>
    <mergeCell ref="A28:A29"/>
    <mergeCell ref="B28:B29"/>
    <mergeCell ref="A13:C13"/>
    <mergeCell ref="A66:D66"/>
    <mergeCell ref="A32:A33"/>
    <mergeCell ref="B32:B33"/>
    <mergeCell ref="A40:A41"/>
  </mergeCells>
  <hyperlinks>
    <hyperlink ref="A11" r:id="rId1" display="http://public.wsu.edu/~forms/PDF/BPPM/70-09.pdf"/>
    <hyperlink ref="A80" r:id="rId2" display="http://public.wsu.edu/~forms/HTML/BPPM/85_Computing_and_Telecommunications/85.33_Accessing_Administrative_Information_Systems.htm"/>
    <hyperlink ref="A82" r:id="rId3" display="http://public.wsu.edu/~forms/HTML/BPPM/85_Computing_and_Telecommunications/85.33_Accessing_Administrative_Information_Systems.htm"/>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
  <sheetViews>
    <sheetView topLeftCell="A73" zoomScale="80" zoomScaleNormal="80" workbookViewId="0">
      <selection activeCell="F39" sqref="F39"/>
    </sheetView>
  </sheetViews>
  <sheetFormatPr defaultColWidth="9.140625" defaultRowHeight="15.75" customHeight="1"/>
  <cols>
    <col min="1" max="1" width="43.7109375" style="290" customWidth="1"/>
    <col min="2" max="2" width="11.7109375" style="290" customWidth="1"/>
    <col min="3" max="3" width="10.140625" style="290" customWidth="1"/>
    <col min="4" max="4" width="13" style="290" customWidth="1"/>
    <col min="5" max="5" width="10.7109375" style="290" customWidth="1"/>
    <col min="6" max="6" width="11.140625" style="41" customWidth="1"/>
    <col min="7" max="12" width="16.28515625" style="130" customWidth="1"/>
    <col min="13" max="13" width="17.28515625" style="290" customWidth="1"/>
    <col min="14" max="14" width="14.5703125" style="290" customWidth="1"/>
    <col min="15" max="16384" width="9.140625" style="290"/>
  </cols>
  <sheetData>
    <row r="1" spans="1:18" s="89" customFormat="1" ht="15.75" customHeight="1">
      <c r="A1" s="89" t="s">
        <v>61</v>
      </c>
      <c r="F1" s="90"/>
      <c r="G1" s="91"/>
      <c r="H1" s="91"/>
      <c r="I1" s="91"/>
      <c r="J1" s="91"/>
      <c r="K1" s="91"/>
      <c r="L1" s="297" t="str">
        <f>+'Sponsor Budget'!L1</f>
        <v>updated : 7/10/2014</v>
      </c>
      <c r="M1" s="267"/>
      <c r="N1" s="263"/>
      <c r="O1" s="263"/>
      <c r="P1" s="263"/>
      <c r="Q1" s="263"/>
    </row>
    <row r="2" spans="1:18" s="89" customFormat="1" ht="20.25" customHeight="1" thickBot="1">
      <c r="F2" s="90"/>
      <c r="G2" s="227"/>
      <c r="H2" s="272"/>
      <c r="I2" s="273"/>
      <c r="J2" s="91"/>
      <c r="K2" s="91"/>
      <c r="L2" s="172"/>
      <c r="M2" s="319"/>
      <c r="N2" s="319"/>
      <c r="O2" s="319"/>
      <c r="P2" s="319"/>
      <c r="Q2" s="319"/>
      <c r="R2" s="319"/>
    </row>
    <row r="3" spans="1:18" s="34" customFormat="1" ht="15.75" customHeight="1" thickBot="1">
      <c r="A3" s="70" t="s">
        <v>187</v>
      </c>
      <c r="B3" s="71"/>
      <c r="C3" s="71"/>
      <c r="D3" s="71"/>
      <c r="E3" s="71"/>
      <c r="F3" s="72"/>
      <c r="G3" s="258" t="s">
        <v>182</v>
      </c>
      <c r="H3" s="258" t="s">
        <v>0</v>
      </c>
      <c r="I3" s="114" t="s">
        <v>1</v>
      </c>
      <c r="J3" s="114" t="s">
        <v>2</v>
      </c>
      <c r="K3" s="114" t="s">
        <v>3</v>
      </c>
      <c r="L3" s="114" t="s">
        <v>13</v>
      </c>
      <c r="M3" s="319"/>
      <c r="N3" s="319"/>
      <c r="O3" s="319"/>
      <c r="P3" s="319"/>
      <c r="Q3" s="319"/>
      <c r="R3" s="319"/>
    </row>
    <row r="4" spans="1:18" s="34" customFormat="1" ht="15.75" customHeight="1" thickBot="1">
      <c r="A4" s="73" t="s">
        <v>189</v>
      </c>
      <c r="B4" s="74"/>
      <c r="C4" s="74"/>
      <c r="D4" s="74"/>
      <c r="E4" s="74"/>
      <c r="F4" s="75"/>
      <c r="G4" s="174"/>
      <c r="H4" s="174"/>
      <c r="I4" s="174"/>
      <c r="J4" s="174"/>
      <c r="K4" s="174"/>
      <c r="L4" s="174"/>
      <c r="M4" s="319"/>
      <c r="N4" s="319"/>
      <c r="O4" s="319"/>
      <c r="P4" s="319"/>
      <c r="Q4" s="319"/>
      <c r="R4" s="319"/>
    </row>
    <row r="5" spans="1:18" s="35" customFormat="1" ht="15.75" customHeight="1" thickBot="1">
      <c r="A5" s="108" t="s">
        <v>40</v>
      </c>
      <c r="B5" s="109" t="s">
        <v>52</v>
      </c>
      <c r="C5" s="109" t="s">
        <v>53</v>
      </c>
      <c r="D5" s="110" t="s">
        <v>38</v>
      </c>
      <c r="E5" s="111"/>
      <c r="F5" s="112"/>
      <c r="G5" s="175"/>
      <c r="H5" s="175"/>
      <c r="I5" s="175"/>
      <c r="J5" s="175"/>
      <c r="K5" s="175"/>
      <c r="L5" s="175"/>
      <c r="M5" s="319"/>
      <c r="N5" s="319"/>
      <c r="O5" s="319"/>
      <c r="P5" s="319"/>
      <c r="Q5" s="319"/>
      <c r="R5" s="319"/>
    </row>
    <row r="6" spans="1:18" ht="15.75" customHeight="1" thickBot="1">
      <c r="A6" s="58" t="s">
        <v>312</v>
      </c>
      <c r="B6" s="199">
        <v>0</v>
      </c>
      <c r="C6" s="82">
        <v>0</v>
      </c>
      <c r="D6" s="84">
        <v>0</v>
      </c>
      <c r="E6" s="88"/>
      <c r="F6" s="76" t="s">
        <v>4</v>
      </c>
      <c r="G6" s="6">
        <f>ROUND(B6*C6*D6,0)</f>
        <v>0</v>
      </c>
      <c r="H6" s="6">
        <f>ROUND((G6*1.04),0)</f>
        <v>0</v>
      </c>
      <c r="I6" s="130">
        <f>ROUND(H6*1.04,0)</f>
        <v>0</v>
      </c>
      <c r="J6" s="130">
        <f>ROUND(I6*1.04,0)</f>
        <v>0</v>
      </c>
      <c r="K6" s="130">
        <f>ROUND(J6*1.04,0)</f>
        <v>0</v>
      </c>
      <c r="L6" s="15">
        <f t="shared" ref="L6:L27" si="0">SUM(G6:K6)</f>
        <v>0</v>
      </c>
    </row>
    <row r="7" spans="1:18" ht="15.75" customHeight="1">
      <c r="A7" s="58"/>
      <c r="B7" s="63"/>
      <c r="C7" s="64"/>
      <c r="D7" s="85"/>
      <c r="E7" s="86" t="s">
        <v>205</v>
      </c>
      <c r="F7" s="222">
        <v>0.26900000000000002</v>
      </c>
      <c r="G7" s="6">
        <f t="shared" ref="G7:K7" si="1">ROUND(G6*$F7,0)</f>
        <v>0</v>
      </c>
      <c r="H7" s="6">
        <f t="shared" si="1"/>
        <v>0</v>
      </c>
      <c r="I7" s="130">
        <f t="shared" si="1"/>
        <v>0</v>
      </c>
      <c r="J7" s="130">
        <f t="shared" si="1"/>
        <v>0</v>
      </c>
      <c r="K7" s="130">
        <f t="shared" si="1"/>
        <v>0</v>
      </c>
      <c r="L7" s="7">
        <f t="shared" si="0"/>
        <v>0</v>
      </c>
      <c r="M7" s="498" t="s">
        <v>285</v>
      </c>
      <c r="N7" s="498"/>
      <c r="O7" s="498"/>
      <c r="P7" s="498"/>
      <c r="Q7" s="498"/>
      <c r="R7" s="499"/>
    </row>
    <row r="8" spans="1:18" ht="15.75" customHeight="1" thickBot="1">
      <c r="A8" s="58" t="s">
        <v>168</v>
      </c>
      <c r="B8" s="200">
        <v>0</v>
      </c>
      <c r="C8" s="65">
        <v>0</v>
      </c>
      <c r="D8" s="85">
        <v>0</v>
      </c>
      <c r="E8" s="87"/>
      <c r="F8" s="77" t="s">
        <v>4</v>
      </c>
      <c r="G8" s="6">
        <f>ROUND(B8*C8*D8,0)</f>
        <v>0</v>
      </c>
      <c r="H8" s="6">
        <f>ROUND((G8*1.04),0)</f>
        <v>0</v>
      </c>
      <c r="I8" s="130">
        <f>ROUND(H8*1.04,0)</f>
        <v>0</v>
      </c>
      <c r="J8" s="130">
        <f>ROUND(I8*1.04,0)</f>
        <v>0</v>
      </c>
      <c r="K8" s="130">
        <f>ROUND(J8*1.04,0)</f>
        <v>0</v>
      </c>
      <c r="L8" s="7">
        <f t="shared" si="0"/>
        <v>0</v>
      </c>
      <c r="M8" s="501"/>
      <c r="N8" s="501"/>
      <c r="O8" s="501"/>
      <c r="P8" s="501"/>
      <c r="Q8" s="501"/>
      <c r="R8" s="502"/>
    </row>
    <row r="9" spans="1:18" ht="15.75" customHeight="1">
      <c r="A9" s="58"/>
      <c r="B9" s="63"/>
      <c r="C9" s="64"/>
      <c r="D9" s="85"/>
      <c r="E9" s="86" t="s">
        <v>205</v>
      </c>
      <c r="F9" s="222">
        <v>0.26900000000000002</v>
      </c>
      <c r="G9" s="6">
        <f t="shared" ref="G9:K9" si="2">ROUND(G8*$F9,0)</f>
        <v>0</v>
      </c>
      <c r="H9" s="6">
        <f t="shared" si="2"/>
        <v>0</v>
      </c>
      <c r="I9" s="130">
        <f t="shared" si="2"/>
        <v>0</v>
      </c>
      <c r="J9" s="130">
        <f t="shared" si="2"/>
        <v>0</v>
      </c>
      <c r="K9" s="130">
        <f t="shared" si="2"/>
        <v>0</v>
      </c>
      <c r="L9" s="7">
        <f t="shared" si="0"/>
        <v>0</v>
      </c>
      <c r="M9" s="176"/>
    </row>
    <row r="10" spans="1:18" ht="21" customHeight="1">
      <c r="A10" s="58" t="s">
        <v>168</v>
      </c>
      <c r="B10" s="200">
        <v>0</v>
      </c>
      <c r="C10" s="65">
        <v>0</v>
      </c>
      <c r="D10" s="85">
        <v>0</v>
      </c>
      <c r="E10" s="87"/>
      <c r="F10" s="77" t="s">
        <v>4</v>
      </c>
      <c r="G10" s="6">
        <f>ROUND(B10*C10*D10,0)</f>
        <v>0</v>
      </c>
      <c r="H10" s="6">
        <f>ROUND((G10*1.04),0)</f>
        <v>0</v>
      </c>
      <c r="I10" s="130">
        <f>ROUND(H10*1.04,0)</f>
        <v>0</v>
      </c>
      <c r="J10" s="130">
        <f>ROUND(I10*1.04,0)</f>
        <v>0</v>
      </c>
      <c r="K10" s="130">
        <f>ROUND(J10*1.04,0)</f>
        <v>0</v>
      </c>
      <c r="L10" s="7">
        <f t="shared" si="0"/>
        <v>0</v>
      </c>
      <c r="M10" s="263"/>
      <c r="N10" s="263"/>
      <c r="O10" s="263"/>
      <c r="P10" s="263"/>
      <c r="Q10" s="263"/>
      <c r="R10" s="263"/>
    </row>
    <row r="11" spans="1:18" ht="15.75" customHeight="1">
      <c r="A11" s="58"/>
      <c r="B11" s="63"/>
      <c r="C11" s="64"/>
      <c r="D11" s="85"/>
      <c r="E11" s="86" t="s">
        <v>205</v>
      </c>
      <c r="F11" s="222">
        <v>0.26900000000000002</v>
      </c>
      <c r="G11" s="6">
        <f t="shared" ref="G11:K11" si="3">ROUND(G10*$F11,0)</f>
        <v>0</v>
      </c>
      <c r="H11" s="6">
        <f t="shared" si="3"/>
        <v>0</v>
      </c>
      <c r="I11" s="130">
        <f t="shared" si="3"/>
        <v>0</v>
      </c>
      <c r="J11" s="130">
        <f t="shared" si="3"/>
        <v>0</v>
      </c>
      <c r="K11" s="130">
        <f t="shared" si="3"/>
        <v>0</v>
      </c>
      <c r="L11" s="7">
        <f t="shared" si="0"/>
        <v>0</v>
      </c>
      <c r="M11" s="263"/>
      <c r="N11" s="263"/>
      <c r="O11" s="263"/>
      <c r="P11" s="263"/>
      <c r="Q11" s="263"/>
      <c r="R11" s="263"/>
    </row>
    <row r="12" spans="1:18" ht="15.75" customHeight="1">
      <c r="A12" s="58" t="s">
        <v>168</v>
      </c>
      <c r="B12" s="200">
        <v>0</v>
      </c>
      <c r="C12" s="65">
        <v>0</v>
      </c>
      <c r="D12" s="85">
        <v>0</v>
      </c>
      <c r="E12" s="87"/>
      <c r="F12" s="77" t="s">
        <v>4</v>
      </c>
      <c r="G12" s="6">
        <f>ROUND(B12*C12*D12,0)</f>
        <v>0</v>
      </c>
      <c r="H12" s="6">
        <f>ROUND((G12*1.04),0)</f>
        <v>0</v>
      </c>
      <c r="I12" s="130">
        <f>ROUND(H12*1.04,0)</f>
        <v>0</v>
      </c>
      <c r="J12" s="130">
        <f>ROUND(I12*1.04,0)</f>
        <v>0</v>
      </c>
      <c r="K12" s="130">
        <f>ROUND(J12*1.04,0)</f>
        <v>0</v>
      </c>
      <c r="L12" s="7">
        <f t="shared" si="0"/>
        <v>0</v>
      </c>
      <c r="M12" s="263"/>
      <c r="N12" s="263"/>
      <c r="O12" s="263"/>
      <c r="P12" s="263"/>
      <c r="Q12" s="263"/>
      <c r="R12" s="263"/>
    </row>
    <row r="13" spans="1:18" ht="15.75" customHeight="1">
      <c r="A13" s="58"/>
      <c r="B13" s="63"/>
      <c r="C13" s="64"/>
      <c r="D13" s="85"/>
      <c r="E13" s="86" t="s">
        <v>205</v>
      </c>
      <c r="F13" s="222">
        <v>0.26900000000000002</v>
      </c>
      <c r="G13" s="6">
        <f t="shared" ref="G13:K13" si="4">ROUND(G12*$F13,0)</f>
        <v>0</v>
      </c>
      <c r="H13" s="6">
        <f t="shared" si="4"/>
        <v>0</v>
      </c>
      <c r="I13" s="130">
        <f t="shared" si="4"/>
        <v>0</v>
      </c>
      <c r="J13" s="130">
        <f t="shared" si="4"/>
        <v>0</v>
      </c>
      <c r="K13" s="130">
        <f t="shared" si="4"/>
        <v>0</v>
      </c>
      <c r="L13" s="7">
        <f t="shared" si="0"/>
        <v>0</v>
      </c>
      <c r="M13" s="263"/>
      <c r="N13" s="263"/>
      <c r="O13" s="263"/>
      <c r="P13" s="263"/>
      <c r="Q13" s="263"/>
      <c r="R13" s="263"/>
    </row>
    <row r="14" spans="1:18" ht="15.75" customHeight="1">
      <c r="A14" s="58" t="s">
        <v>169</v>
      </c>
      <c r="B14" s="200">
        <v>0</v>
      </c>
      <c r="C14" s="65">
        <v>0</v>
      </c>
      <c r="D14" s="85">
        <v>0</v>
      </c>
      <c r="E14" s="87"/>
      <c r="F14" s="77" t="s">
        <v>4</v>
      </c>
      <c r="G14" s="6">
        <f>ROUND(B14*C14*D14,0)</f>
        <v>0</v>
      </c>
      <c r="H14" s="6">
        <f>ROUND((G14*1.04),0)</f>
        <v>0</v>
      </c>
      <c r="I14" s="130">
        <f>ROUND(H14*1.04,0)</f>
        <v>0</v>
      </c>
      <c r="J14" s="130">
        <f>ROUND(I14*1.04,0)</f>
        <v>0</v>
      </c>
      <c r="K14" s="130">
        <f>ROUND(J14*1.04,0)</f>
        <v>0</v>
      </c>
      <c r="L14" s="7">
        <f t="shared" si="0"/>
        <v>0</v>
      </c>
      <c r="M14" s="263"/>
      <c r="N14" s="263"/>
      <c r="O14" s="263"/>
      <c r="P14" s="263"/>
      <c r="Q14" s="263"/>
      <c r="R14" s="263"/>
    </row>
    <row r="15" spans="1:18" ht="15.75" customHeight="1">
      <c r="A15" s="58"/>
      <c r="B15" s="63"/>
      <c r="C15" s="64"/>
      <c r="D15" s="85"/>
      <c r="E15" s="86" t="s">
        <v>205</v>
      </c>
      <c r="F15" s="222">
        <v>0.29899999999999999</v>
      </c>
      <c r="G15" s="6">
        <f t="shared" ref="G15:K15" si="5">ROUND(G14*$F15,0)</f>
        <v>0</v>
      </c>
      <c r="H15" s="6">
        <f t="shared" si="5"/>
        <v>0</v>
      </c>
      <c r="I15" s="130">
        <f t="shared" si="5"/>
        <v>0</v>
      </c>
      <c r="J15" s="130">
        <f t="shared" si="5"/>
        <v>0</v>
      </c>
      <c r="K15" s="130">
        <f t="shared" si="5"/>
        <v>0</v>
      </c>
      <c r="L15" s="7">
        <f t="shared" si="0"/>
        <v>0</v>
      </c>
      <c r="M15" s="263"/>
      <c r="N15" s="263"/>
      <c r="O15" s="263"/>
      <c r="P15" s="263"/>
      <c r="Q15" s="263"/>
      <c r="R15" s="263"/>
    </row>
    <row r="16" spans="1:18" ht="15.75" customHeight="1">
      <c r="A16" s="92" t="s">
        <v>169</v>
      </c>
      <c r="B16" s="200">
        <v>0</v>
      </c>
      <c r="C16" s="65">
        <v>0</v>
      </c>
      <c r="D16" s="85">
        <v>0</v>
      </c>
      <c r="E16" s="87"/>
      <c r="F16" s="77" t="s">
        <v>4</v>
      </c>
      <c r="G16" s="6">
        <f>ROUND(B16*C16*D16,0)</f>
        <v>0</v>
      </c>
      <c r="H16" s="6">
        <f>ROUND((G16*1.04),0)</f>
        <v>0</v>
      </c>
      <c r="I16" s="130">
        <f>ROUND(H16*1.04,0)</f>
        <v>0</v>
      </c>
      <c r="J16" s="130">
        <f>ROUND(I16*1.04,0)</f>
        <v>0</v>
      </c>
      <c r="K16" s="130">
        <f>ROUND(J16*1.04,0)</f>
        <v>0</v>
      </c>
      <c r="L16" s="7">
        <f t="shared" si="0"/>
        <v>0</v>
      </c>
      <c r="M16" s="263"/>
      <c r="N16" s="263"/>
      <c r="O16" s="263"/>
      <c r="P16" s="263"/>
      <c r="Q16" s="263"/>
      <c r="R16" s="263"/>
    </row>
    <row r="17" spans="1:18" ht="15.75" customHeight="1">
      <c r="A17" s="58"/>
      <c r="B17" s="63"/>
      <c r="C17" s="64"/>
      <c r="D17" s="85"/>
      <c r="E17" s="86" t="s">
        <v>205</v>
      </c>
      <c r="F17" s="222">
        <v>0.29899999999999999</v>
      </c>
      <c r="G17" s="6">
        <f t="shared" ref="G17:K17" si="6">ROUND(G16*$F17,0)</f>
        <v>0</v>
      </c>
      <c r="H17" s="6">
        <f t="shared" si="6"/>
        <v>0</v>
      </c>
      <c r="I17" s="130">
        <f t="shared" si="6"/>
        <v>0</v>
      </c>
      <c r="J17" s="130">
        <f t="shared" si="6"/>
        <v>0</v>
      </c>
      <c r="K17" s="130">
        <f t="shared" si="6"/>
        <v>0</v>
      </c>
      <c r="L17" s="7">
        <f t="shared" si="0"/>
        <v>0</v>
      </c>
      <c r="M17" s="263"/>
      <c r="N17" s="263"/>
      <c r="O17" s="263"/>
      <c r="P17" s="263"/>
      <c r="Q17" s="263"/>
      <c r="R17" s="263"/>
    </row>
    <row r="18" spans="1:18" ht="15.75" customHeight="1">
      <c r="A18" s="92" t="s">
        <v>170</v>
      </c>
      <c r="B18" s="200">
        <v>0</v>
      </c>
      <c r="C18" s="65">
        <v>0</v>
      </c>
      <c r="D18" s="85">
        <v>0</v>
      </c>
      <c r="E18" s="87"/>
      <c r="F18" s="77" t="s">
        <v>4</v>
      </c>
      <c r="G18" s="6">
        <f>ROUND(B18*C18*D18,0)</f>
        <v>0</v>
      </c>
      <c r="H18" s="6">
        <f>ROUND((G18*1.04),0)</f>
        <v>0</v>
      </c>
      <c r="I18" s="130">
        <f>ROUND(H18*1.04,0)</f>
        <v>0</v>
      </c>
      <c r="J18" s="130">
        <f>ROUND(I18*1.04,0)</f>
        <v>0</v>
      </c>
      <c r="K18" s="130">
        <f>ROUND(J18*1.04,0)</f>
        <v>0</v>
      </c>
      <c r="L18" s="7">
        <f t="shared" si="0"/>
        <v>0</v>
      </c>
      <c r="M18" s="176"/>
    </row>
    <row r="19" spans="1:18" ht="15.75" customHeight="1" thickBot="1">
      <c r="A19" s="58"/>
      <c r="B19" s="63"/>
      <c r="C19" s="64"/>
      <c r="D19" s="85"/>
      <c r="E19" s="86" t="s">
        <v>205</v>
      </c>
      <c r="F19" s="221">
        <v>0.38800000000000001</v>
      </c>
      <c r="G19" s="6">
        <f t="shared" ref="G19:K19" si="7">ROUND(G18*$F19,0)</f>
        <v>0</v>
      </c>
      <c r="H19" s="6">
        <f t="shared" si="7"/>
        <v>0</v>
      </c>
      <c r="I19" s="130">
        <f t="shared" si="7"/>
        <v>0</v>
      </c>
      <c r="J19" s="130">
        <f t="shared" si="7"/>
        <v>0</v>
      </c>
      <c r="K19" s="130">
        <f t="shared" si="7"/>
        <v>0</v>
      </c>
      <c r="L19" s="13">
        <f t="shared" si="0"/>
        <v>0</v>
      </c>
    </row>
    <row r="20" spans="1:18" ht="15.75" customHeight="1" thickBot="1">
      <c r="A20" s="67" t="s">
        <v>58</v>
      </c>
      <c r="B20" s="209"/>
      <c r="C20" s="210"/>
      <c r="D20" s="207">
        <v>0.5</v>
      </c>
      <c r="E20" s="269"/>
      <c r="F20" s="77" t="s">
        <v>4</v>
      </c>
      <c r="G20" s="20"/>
      <c r="H20" s="14">
        <f>ROUND((G20*1.04),0)</f>
        <v>0</v>
      </c>
      <c r="I20" s="14">
        <f>ROUND(H20*1.04,0)</f>
        <v>0</v>
      </c>
      <c r="J20" s="14">
        <f>ROUND(I20*1.04,0)</f>
        <v>0</v>
      </c>
      <c r="K20" s="14">
        <f>ROUND(J20*1.04,0)</f>
        <v>0</v>
      </c>
      <c r="L20" s="15">
        <f t="shared" si="0"/>
        <v>0</v>
      </c>
    </row>
    <row r="21" spans="1:18" ht="21.75" customHeight="1">
      <c r="A21" s="220" t="s">
        <v>198</v>
      </c>
      <c r="B21" s="211"/>
      <c r="C21" s="212"/>
      <c r="D21" s="217"/>
      <c r="E21" s="29"/>
      <c r="F21" s="79" t="s">
        <v>6</v>
      </c>
      <c r="G21" s="6"/>
      <c r="H21" s="6">
        <f>ROUND((G21*1.07),0)</f>
        <v>0</v>
      </c>
      <c r="I21" s="6">
        <f>ROUND(H21*1.07,0)</f>
        <v>0</v>
      </c>
      <c r="J21" s="6">
        <f>ROUND(I21*1.07,0)</f>
        <v>0</v>
      </c>
      <c r="K21" s="286">
        <f>ROUND(J21*1.07,0)</f>
        <v>0</v>
      </c>
      <c r="L21" s="7">
        <f t="shared" si="0"/>
        <v>0</v>
      </c>
      <c r="M21" s="489" t="s">
        <v>340</v>
      </c>
      <c r="N21" s="489"/>
      <c r="O21" s="489"/>
      <c r="P21" s="489"/>
      <c r="Q21" s="489"/>
      <c r="R21" s="490"/>
    </row>
    <row r="22" spans="1:18" ht="15.75" customHeight="1">
      <c r="A22" s="178"/>
      <c r="B22" s="211"/>
      <c r="C22" s="212"/>
      <c r="D22" s="218"/>
      <c r="E22" s="29"/>
      <c r="F22" s="79" t="s">
        <v>7</v>
      </c>
      <c r="G22" s="6"/>
      <c r="H22" s="6">
        <f>ROUND((G22*1.04),0)</f>
        <v>0</v>
      </c>
      <c r="I22" s="6">
        <f>ROUND(H22*1.04,0)</f>
        <v>0</v>
      </c>
      <c r="J22" s="6">
        <f>ROUND(I22*1.04,0)</f>
        <v>0</v>
      </c>
      <c r="K22" s="286">
        <f>ROUND(J22*1.04,0)</f>
        <v>0</v>
      </c>
      <c r="L22" s="7">
        <f t="shared" si="0"/>
        <v>0</v>
      </c>
      <c r="M22" s="492"/>
      <c r="N22" s="492"/>
      <c r="O22" s="492"/>
      <c r="P22" s="492"/>
      <c r="Q22" s="492"/>
      <c r="R22" s="493"/>
    </row>
    <row r="23" spans="1:18" ht="15.75" customHeight="1" thickBot="1">
      <c r="A23" s="68"/>
      <c r="B23" s="213"/>
      <c r="C23" s="214"/>
      <c r="D23" s="219"/>
      <c r="E23" s="66"/>
      <c r="F23" s="80">
        <v>1.4999999999999999E-2</v>
      </c>
      <c r="G23" s="6">
        <f>ROUND(SUM(G20*F23),0)</f>
        <v>0</v>
      </c>
      <c r="H23" s="6">
        <f>ROUND(SUM(H20*$F$23),0)</f>
        <v>0</v>
      </c>
      <c r="I23" s="260">
        <f>ROUND(SUM(I20*$F$23),0)</f>
        <v>0</v>
      </c>
      <c r="J23" s="260">
        <f>ROUND(SUM(J20*$F$23),0)</f>
        <v>0</v>
      </c>
      <c r="K23" s="6">
        <f>ROUND(SUM(K20*$F$23),0)</f>
        <v>0</v>
      </c>
      <c r="L23" s="7">
        <f t="shared" si="0"/>
        <v>0</v>
      </c>
      <c r="M23" s="495"/>
      <c r="N23" s="495"/>
      <c r="O23" s="495"/>
      <c r="P23" s="495"/>
      <c r="Q23" s="495"/>
      <c r="R23" s="496"/>
    </row>
    <row r="24" spans="1:18" ht="15.75" customHeight="1">
      <c r="A24" s="83" t="s">
        <v>57</v>
      </c>
      <c r="B24" s="209"/>
      <c r="C24" s="210"/>
      <c r="D24" s="208">
        <v>0.5</v>
      </c>
      <c r="E24" s="62"/>
      <c r="F24" s="78" t="s">
        <v>4</v>
      </c>
      <c r="G24" s="20"/>
      <c r="H24" s="14">
        <f>ROUND((G24*1.04),0)</f>
        <v>0</v>
      </c>
      <c r="I24" s="130">
        <f>ROUND(H24*1.04,0)</f>
        <v>0</v>
      </c>
      <c r="J24" s="130">
        <f>ROUND(I24*1.04,0)</f>
        <v>0</v>
      </c>
      <c r="K24" s="14">
        <f>ROUND(J24*1.04,0)</f>
        <v>0</v>
      </c>
      <c r="L24" s="15">
        <f t="shared" si="0"/>
        <v>0</v>
      </c>
    </row>
    <row r="25" spans="1:18" ht="15.75" customHeight="1">
      <c r="A25" s="220" t="s">
        <v>198</v>
      </c>
      <c r="B25" s="211"/>
      <c r="C25" s="212"/>
      <c r="D25" s="217"/>
      <c r="E25" s="29"/>
      <c r="F25" s="79" t="s">
        <v>6</v>
      </c>
      <c r="G25" s="6"/>
      <c r="H25" s="6">
        <f>ROUND((G25*1.07),0)</f>
        <v>0</v>
      </c>
      <c r="I25" s="130">
        <f>ROUND(H25*1.07,0)</f>
        <v>0</v>
      </c>
      <c r="J25" s="130">
        <f>ROUND(I25*1.07,0)</f>
        <v>0</v>
      </c>
      <c r="K25" s="286">
        <f>ROUND(J25*1.07,0)</f>
        <v>0</v>
      </c>
      <c r="L25" s="7">
        <f t="shared" si="0"/>
        <v>0</v>
      </c>
      <c r="M25" s="295"/>
      <c r="N25" s="295"/>
      <c r="O25" s="295"/>
      <c r="P25" s="295"/>
      <c r="Q25" s="295"/>
      <c r="R25" s="295"/>
    </row>
    <row r="26" spans="1:18" ht="15.75" customHeight="1">
      <c r="A26" s="178"/>
      <c r="B26" s="211"/>
      <c r="C26" s="212"/>
      <c r="D26" s="218"/>
      <c r="E26" s="29"/>
      <c r="F26" s="79" t="s">
        <v>7</v>
      </c>
      <c r="G26" s="6"/>
      <c r="H26" s="6">
        <f>ROUND((G26*1.04),0)</f>
        <v>0</v>
      </c>
      <c r="I26" s="130">
        <f>ROUND(H26*1.04,0)</f>
        <v>0</v>
      </c>
      <c r="J26" s="130">
        <f>ROUND(I26*1.04,0)</f>
        <v>0</v>
      </c>
      <c r="K26" s="286">
        <f>ROUND(J26*1.04,0)</f>
        <v>0</v>
      </c>
      <c r="L26" s="7">
        <f t="shared" si="0"/>
        <v>0</v>
      </c>
      <c r="M26" s="295"/>
      <c r="N26" s="295"/>
      <c r="O26" s="295"/>
      <c r="P26" s="295"/>
      <c r="Q26" s="295"/>
      <c r="R26" s="295"/>
    </row>
    <row r="27" spans="1:18" ht="15.75" customHeight="1" thickBot="1">
      <c r="A27" s="12"/>
      <c r="B27" s="215"/>
      <c r="C27" s="216"/>
      <c r="D27" s="219"/>
      <c r="E27" s="49"/>
      <c r="F27" s="81">
        <v>1.4999999999999999E-2</v>
      </c>
      <c r="G27" s="6">
        <f>ROUND(G24*F27,0)</f>
        <v>0</v>
      </c>
      <c r="H27" s="6">
        <f>ROUND(F27*H24,0)</f>
        <v>0</v>
      </c>
      <c r="I27" s="6">
        <f>ROUND(SUM(I24*$F$23),0)</f>
        <v>0</v>
      </c>
      <c r="J27" s="6">
        <f>ROUND(SUM(J24*$F$23),0)</f>
        <v>0</v>
      </c>
      <c r="K27" s="6">
        <f>ROUND(K24*$F$27,0)</f>
        <v>0</v>
      </c>
      <c r="L27" s="7">
        <f t="shared" si="0"/>
        <v>0</v>
      </c>
      <c r="M27" s="295"/>
      <c r="N27" s="295"/>
      <c r="O27" s="295"/>
      <c r="P27" s="295"/>
      <c r="Q27" s="295"/>
      <c r="R27" s="295"/>
    </row>
    <row r="28" spans="1:18" ht="15.75" customHeight="1" thickBot="1">
      <c r="A28" s="115" t="s">
        <v>203</v>
      </c>
      <c r="B28" s="116" t="s">
        <v>54</v>
      </c>
      <c r="C28" s="116" t="s">
        <v>59</v>
      </c>
      <c r="D28" s="117" t="s">
        <v>55</v>
      </c>
      <c r="E28" s="118"/>
      <c r="F28" s="119"/>
      <c r="G28" s="120"/>
      <c r="H28" s="121"/>
      <c r="I28" s="121"/>
      <c r="J28" s="121"/>
      <c r="K28" s="121"/>
      <c r="L28" s="122"/>
      <c r="N28" s="130"/>
    </row>
    <row r="29" spans="1:18" ht="15.75" customHeight="1">
      <c r="A29" s="56" t="s">
        <v>68</v>
      </c>
      <c r="B29" s="95">
        <v>0</v>
      </c>
      <c r="C29" s="60">
        <v>0</v>
      </c>
      <c r="D29" s="60">
        <v>0</v>
      </c>
      <c r="E29" s="50"/>
      <c r="F29" s="69" t="s">
        <v>8</v>
      </c>
      <c r="G29" s="5">
        <f>ROUND((B29*C29*D29),0)</f>
        <v>0</v>
      </c>
      <c r="H29" s="6">
        <f>ROUND((G29*1.04),0)</f>
        <v>0</v>
      </c>
      <c r="I29" s="130">
        <f>ROUND(H29*1.04,0)</f>
        <v>0</v>
      </c>
      <c r="J29" s="130">
        <f>ROUND(I29*1.04,0)</f>
        <v>0</v>
      </c>
      <c r="K29" s="6">
        <f>ROUND(J29*1.04,0)</f>
        <v>0</v>
      </c>
      <c r="L29" s="7">
        <f t="shared" ref="L29:L38" si="8">SUM(G29:K29)</f>
        <v>0</v>
      </c>
    </row>
    <row r="30" spans="1:18" ht="15.75" customHeight="1">
      <c r="A30" s="19"/>
      <c r="B30" s="93"/>
      <c r="C30" s="59"/>
      <c r="D30" s="59"/>
      <c r="E30" s="48" t="s">
        <v>5</v>
      </c>
      <c r="F30" s="223">
        <v>2.1999999999999999E-2</v>
      </c>
      <c r="G30" s="5">
        <f t="shared" ref="G30:K30" si="9">ROUND(G29*$F30,0)</f>
        <v>0</v>
      </c>
      <c r="H30" s="6">
        <f t="shared" si="9"/>
        <v>0</v>
      </c>
      <c r="I30" s="6">
        <f t="shared" si="9"/>
        <v>0</v>
      </c>
      <c r="J30" s="6">
        <f t="shared" si="9"/>
        <v>0</v>
      </c>
      <c r="K30" s="6">
        <f t="shared" si="9"/>
        <v>0</v>
      </c>
      <c r="L30" s="7">
        <f t="shared" si="8"/>
        <v>0</v>
      </c>
    </row>
    <row r="31" spans="1:18" ht="15.75" customHeight="1">
      <c r="A31" s="19" t="s">
        <v>67</v>
      </c>
      <c r="B31" s="93">
        <v>0</v>
      </c>
      <c r="C31" s="59">
        <v>0</v>
      </c>
      <c r="D31" s="59">
        <v>0</v>
      </c>
      <c r="E31" s="47"/>
      <c r="F31" s="54" t="s">
        <v>8</v>
      </c>
      <c r="G31" s="5">
        <f>ROUND(B31*C31*D31,0)</f>
        <v>0</v>
      </c>
      <c r="H31" s="6">
        <f>ROUND((G31*1.04),0)</f>
        <v>0</v>
      </c>
      <c r="I31" s="130">
        <f>ROUND(H31*1.04,0)</f>
        <v>0</v>
      </c>
      <c r="J31" s="130">
        <f>ROUND(I31*1.04,0)</f>
        <v>0</v>
      </c>
      <c r="K31" s="6">
        <f>ROUND(J31*1.04,0)</f>
        <v>0</v>
      </c>
      <c r="L31" s="7">
        <f t="shared" si="8"/>
        <v>0</v>
      </c>
    </row>
    <row r="32" spans="1:18" ht="15.75" customHeight="1">
      <c r="A32" s="19"/>
      <c r="B32" s="93"/>
      <c r="C32" s="59"/>
      <c r="D32" s="59"/>
      <c r="E32" s="48" t="s">
        <v>5</v>
      </c>
      <c r="F32" s="224">
        <v>9.8000000000000004E-2</v>
      </c>
      <c r="G32" s="5">
        <f t="shared" ref="G32:K32" si="10">ROUND(G31*$F32,0)</f>
        <v>0</v>
      </c>
      <c r="H32" s="6">
        <f t="shared" si="10"/>
        <v>0</v>
      </c>
      <c r="I32" s="6">
        <f t="shared" si="10"/>
        <v>0</v>
      </c>
      <c r="J32" s="6">
        <f t="shared" si="10"/>
        <v>0</v>
      </c>
      <c r="K32" s="6">
        <f t="shared" si="10"/>
        <v>0</v>
      </c>
      <c r="L32" s="7">
        <f t="shared" si="8"/>
        <v>0</v>
      </c>
    </row>
    <row r="33" spans="1:18" ht="15.75" customHeight="1" thickBot="1">
      <c r="A33" s="19" t="s">
        <v>184</v>
      </c>
      <c r="B33" s="93">
        <v>0</v>
      </c>
      <c r="C33" s="59">
        <v>0</v>
      </c>
      <c r="D33" s="59">
        <v>0</v>
      </c>
      <c r="E33" s="47"/>
      <c r="F33" s="54" t="s">
        <v>8</v>
      </c>
      <c r="G33" s="5">
        <f>ROUND((B33*C33*D33),0)</f>
        <v>0</v>
      </c>
      <c r="H33" s="6">
        <f>ROUND((G33*1.04),0)</f>
        <v>0</v>
      </c>
      <c r="I33" s="130">
        <f>ROUND(H33*1.04,0)</f>
        <v>0</v>
      </c>
      <c r="J33" s="130">
        <f>ROUND(I33*1.04,0)</f>
        <v>0</v>
      </c>
      <c r="K33" s="6">
        <f>ROUND(J33*1.04,0)</f>
        <v>0</v>
      </c>
      <c r="L33" s="7">
        <f t="shared" si="8"/>
        <v>0</v>
      </c>
    </row>
    <row r="34" spans="1:18" ht="15.75" customHeight="1">
      <c r="A34" s="201" t="s">
        <v>197</v>
      </c>
      <c r="B34" s="93"/>
      <c r="C34" s="59"/>
      <c r="D34" s="59"/>
      <c r="E34" s="48" t="s">
        <v>5</v>
      </c>
      <c r="F34" s="224">
        <v>9.8000000000000004E-2</v>
      </c>
      <c r="G34" s="5">
        <f t="shared" ref="G34:K34" si="11">ROUND(G33*$F34,0)</f>
        <v>0</v>
      </c>
      <c r="H34" s="6">
        <f t="shared" si="11"/>
        <v>0</v>
      </c>
      <c r="I34" s="6">
        <f t="shared" si="11"/>
        <v>0</v>
      </c>
      <c r="J34" s="6">
        <f t="shared" si="11"/>
        <v>0</v>
      </c>
      <c r="K34" s="6">
        <f t="shared" si="11"/>
        <v>0</v>
      </c>
      <c r="L34" s="7">
        <f t="shared" si="8"/>
        <v>0</v>
      </c>
      <c r="M34" s="480" t="s">
        <v>339</v>
      </c>
      <c r="N34" s="480"/>
      <c r="O34" s="480"/>
      <c r="P34" s="480"/>
      <c r="Q34" s="480"/>
      <c r="R34" s="481"/>
    </row>
    <row r="35" spans="1:18" ht="15.75" customHeight="1">
      <c r="A35" s="19" t="s">
        <v>65</v>
      </c>
      <c r="B35" s="93">
        <v>0</v>
      </c>
      <c r="C35" s="59">
        <v>0</v>
      </c>
      <c r="D35" s="59">
        <v>0</v>
      </c>
      <c r="E35" s="47"/>
      <c r="F35" s="55" t="s">
        <v>8</v>
      </c>
      <c r="G35" s="5">
        <f>ROUND((B35*C35*D35),0)</f>
        <v>0</v>
      </c>
      <c r="H35" s="6">
        <f>ROUND((G35*1.04),0)</f>
        <v>0</v>
      </c>
      <c r="I35" s="130">
        <f>ROUND(H35*1.04,0)</f>
        <v>0</v>
      </c>
      <c r="J35" s="130">
        <f>ROUND(I35*1.04,0)</f>
        <v>0</v>
      </c>
      <c r="K35" s="6">
        <f>ROUND(J35*1.04,0)</f>
        <v>0</v>
      </c>
      <c r="L35" s="7">
        <f t="shared" si="8"/>
        <v>0</v>
      </c>
      <c r="M35" s="483"/>
      <c r="N35" s="483"/>
      <c r="O35" s="483"/>
      <c r="P35" s="483"/>
      <c r="Q35" s="483"/>
      <c r="R35" s="484"/>
    </row>
    <row r="36" spans="1:18" ht="15.75" customHeight="1" thickBot="1">
      <c r="A36" s="201" t="s">
        <v>197</v>
      </c>
      <c r="B36" s="93"/>
      <c r="C36" s="59"/>
      <c r="D36" s="59"/>
      <c r="E36" s="48" t="s">
        <v>5</v>
      </c>
      <c r="F36" s="224">
        <v>0.19</v>
      </c>
      <c r="G36" s="5">
        <f t="shared" ref="G36:K36" si="12">ROUND(G35*$F36,0)</f>
        <v>0</v>
      </c>
      <c r="H36" s="6">
        <f t="shared" si="12"/>
        <v>0</v>
      </c>
      <c r="I36" s="6">
        <f t="shared" si="12"/>
        <v>0</v>
      </c>
      <c r="J36" s="6">
        <f t="shared" si="12"/>
        <v>0</v>
      </c>
      <c r="K36" s="6">
        <f t="shared" si="12"/>
        <v>0</v>
      </c>
      <c r="L36" s="7">
        <f t="shared" si="8"/>
        <v>0</v>
      </c>
      <c r="M36" s="486"/>
      <c r="N36" s="486"/>
      <c r="O36" s="486"/>
      <c r="P36" s="486"/>
      <c r="Q36" s="486"/>
      <c r="R36" s="487"/>
    </row>
    <row r="37" spans="1:18" ht="15.75" customHeight="1">
      <c r="A37" s="19" t="s">
        <v>183</v>
      </c>
      <c r="B37" s="93">
        <v>0</v>
      </c>
      <c r="C37" s="59">
        <v>0</v>
      </c>
      <c r="D37" s="59">
        <v>0</v>
      </c>
      <c r="E37" s="48"/>
      <c r="F37" s="54" t="s">
        <v>8</v>
      </c>
      <c r="G37" s="5">
        <f>ROUND((B37*C37*D37),0)</f>
        <v>0</v>
      </c>
      <c r="H37" s="6">
        <f>ROUND((G37*1.04),0)</f>
        <v>0</v>
      </c>
      <c r="I37" s="130">
        <f>ROUND(H37*1.04,0)</f>
        <v>0</v>
      </c>
      <c r="J37" s="130">
        <f>ROUND(I37*1.04,0)</f>
        <v>0</v>
      </c>
      <c r="K37" s="6">
        <f>ROUND(J37*1.04,0)</f>
        <v>0</v>
      </c>
      <c r="L37" s="7">
        <f t="shared" si="8"/>
        <v>0</v>
      </c>
    </row>
    <row r="38" spans="1:18" ht="15.75" customHeight="1" thickBot="1">
      <c r="A38" s="17"/>
      <c r="B38" s="275"/>
      <c r="C38" s="276"/>
      <c r="D38" s="276"/>
      <c r="E38" s="49" t="s">
        <v>5</v>
      </c>
      <c r="F38" s="225">
        <v>0.63200000000000001</v>
      </c>
      <c r="G38" s="259">
        <f t="shared" ref="G38:K38" si="13">ROUND(G37*$F38,0)</f>
        <v>0</v>
      </c>
      <c r="H38" s="6">
        <f t="shared" si="13"/>
        <v>0</v>
      </c>
      <c r="I38" s="6">
        <f t="shared" si="13"/>
        <v>0</v>
      </c>
      <c r="J38" s="6">
        <f t="shared" si="13"/>
        <v>0</v>
      </c>
      <c r="K38" s="6">
        <f t="shared" si="13"/>
        <v>0</v>
      </c>
      <c r="L38" s="13">
        <f t="shared" si="8"/>
        <v>0</v>
      </c>
    </row>
    <row r="39" spans="1:18" ht="15.75" customHeight="1">
      <c r="A39" s="21"/>
      <c r="B39" s="24"/>
      <c r="C39" s="24"/>
      <c r="D39" s="24"/>
      <c r="E39" s="24"/>
      <c r="F39" s="32" t="s">
        <v>25</v>
      </c>
      <c r="G39" s="202">
        <f t="shared" ref="G39:L39" si="14">ROUND(SUM(G6+G8+G10+G12+G14+G16+G18+G20+G24),0)</f>
        <v>0</v>
      </c>
      <c r="H39" s="202">
        <f t="shared" ref="H39" si="15">ROUND(SUM(H6+H8+H10+H12+H14+H16+H18+H20+H24),0)</f>
        <v>0</v>
      </c>
      <c r="I39" s="202">
        <f t="shared" si="14"/>
        <v>0</v>
      </c>
      <c r="J39" s="202">
        <f t="shared" si="14"/>
        <v>0</v>
      </c>
      <c r="K39" s="202">
        <f t="shared" si="14"/>
        <v>0</v>
      </c>
      <c r="L39" s="302">
        <f t="shared" si="14"/>
        <v>0</v>
      </c>
    </row>
    <row r="40" spans="1:18" ht="15.75" customHeight="1">
      <c r="A40" s="21"/>
      <c r="B40" s="24"/>
      <c r="C40" s="24"/>
      <c r="D40" s="24"/>
      <c r="E40" s="24"/>
      <c r="F40" s="32" t="s">
        <v>26</v>
      </c>
      <c r="G40" s="203">
        <f>ROUND(SUM(G29+G31+G33+G35+G37),0)</f>
        <v>0</v>
      </c>
      <c r="H40" s="203">
        <f>ROUND(SUM(H29+H31+H33+H35+H37),0)</f>
        <v>0</v>
      </c>
      <c r="I40" s="203">
        <f>ROUND(SUM(I29++I31+I33+I35+I37),0)</f>
        <v>0</v>
      </c>
      <c r="J40" s="203">
        <f>ROUND(SUM(J29+J31+J33+J35+J37),0)</f>
        <v>0</v>
      </c>
      <c r="K40" s="203">
        <f>ROUND(SUM(K29++K31+K33+K35+K37),0)</f>
        <v>0</v>
      </c>
      <c r="L40" s="303">
        <f>ROUND(SUM(L29+L31+L33+L35+L37),0)</f>
        <v>0</v>
      </c>
    </row>
    <row r="41" spans="1:18" ht="15.75" customHeight="1" thickBot="1">
      <c r="A41" s="37"/>
      <c r="B41" s="45"/>
      <c r="C41" s="45"/>
      <c r="D41" s="45"/>
      <c r="E41" s="45"/>
      <c r="F41" s="33" t="s">
        <v>23</v>
      </c>
      <c r="G41" s="204">
        <f t="shared" ref="G41:L41" si="16">SUM(G39:G40)</f>
        <v>0</v>
      </c>
      <c r="H41" s="204">
        <f t="shared" ref="H41" si="17">SUM(H39:H40)</f>
        <v>0</v>
      </c>
      <c r="I41" s="204">
        <f t="shared" si="16"/>
        <v>0</v>
      </c>
      <c r="J41" s="204">
        <f t="shared" si="16"/>
        <v>0</v>
      </c>
      <c r="K41" s="204">
        <f t="shared" si="16"/>
        <v>0</v>
      </c>
      <c r="L41" s="206">
        <f t="shared" si="16"/>
        <v>0</v>
      </c>
    </row>
    <row r="42" spans="1:18" ht="15.75" customHeight="1" thickBot="1">
      <c r="A42" s="179" t="s">
        <v>46</v>
      </c>
      <c r="B42" s="180"/>
      <c r="C42" s="180"/>
      <c r="D42" s="180"/>
      <c r="E42" s="180"/>
      <c r="F42" s="181"/>
      <c r="G42" s="182"/>
      <c r="H42" s="182"/>
      <c r="I42" s="183"/>
      <c r="J42" s="183"/>
      <c r="K42" s="183"/>
      <c r="L42" s="184"/>
    </row>
    <row r="43" spans="1:18" ht="15.75" customHeight="1" thickBot="1">
      <c r="A43" s="27"/>
      <c r="B43" s="46"/>
      <c r="C43" s="46"/>
      <c r="D43" s="46"/>
      <c r="E43" s="46"/>
      <c r="F43" s="28" t="s">
        <v>35</v>
      </c>
      <c r="G43" s="205">
        <f t="shared" ref="G43:L43" si="18">ROUND(SUM(G7+G9+G11+G13+G15+G17+G19+G21+G22+G23+G25+G26+G27+G30+G32+G34+G36+G38),0)</f>
        <v>0</v>
      </c>
      <c r="H43" s="205">
        <f t="shared" si="18"/>
        <v>0</v>
      </c>
      <c r="I43" s="205">
        <f t="shared" si="18"/>
        <v>0</v>
      </c>
      <c r="J43" s="205">
        <f t="shared" si="18"/>
        <v>0</v>
      </c>
      <c r="K43" s="205">
        <f t="shared" si="18"/>
        <v>0</v>
      </c>
      <c r="L43" s="301">
        <f t="shared" si="18"/>
        <v>0</v>
      </c>
    </row>
    <row r="44" spans="1:18" ht="15.75" customHeight="1" thickBot="1">
      <c r="A44" s="19"/>
      <c r="B44" s="44"/>
      <c r="C44" s="44"/>
      <c r="D44" s="44"/>
      <c r="E44" s="44"/>
      <c r="F44" s="32" t="s">
        <v>34</v>
      </c>
      <c r="G44" s="205">
        <f t="shared" ref="G44:L44" si="19">SUM(G41+G43)</f>
        <v>0</v>
      </c>
      <c r="H44" s="205">
        <f t="shared" ref="H44" si="20">SUM(H41+H43)</f>
        <v>0</v>
      </c>
      <c r="I44" s="205">
        <f t="shared" si="19"/>
        <v>0</v>
      </c>
      <c r="J44" s="205">
        <f t="shared" si="19"/>
        <v>0</v>
      </c>
      <c r="K44" s="205">
        <f t="shared" si="19"/>
        <v>0</v>
      </c>
      <c r="L44" s="301">
        <f t="shared" si="19"/>
        <v>0</v>
      </c>
      <c r="M44" s="39"/>
    </row>
    <row r="45" spans="1:18" s="39" customFormat="1" ht="15.75" customHeight="1" thickBot="1">
      <c r="A45" s="179" t="s">
        <v>202</v>
      </c>
      <c r="B45" s="180"/>
      <c r="C45" s="180"/>
      <c r="D45" s="180"/>
      <c r="E45" s="180"/>
      <c r="F45" s="181"/>
      <c r="G45" s="185"/>
      <c r="H45" s="230"/>
      <c r="I45" s="186"/>
      <c r="J45" s="186"/>
      <c r="K45" s="186"/>
      <c r="L45" s="187"/>
      <c r="M45" s="290"/>
    </row>
    <row r="46" spans="1:18" ht="15.75" customHeight="1">
      <c r="A46" s="23"/>
      <c r="B46" s="38"/>
      <c r="C46" s="38"/>
      <c r="D46" s="38"/>
      <c r="E46" s="38"/>
      <c r="F46" s="30"/>
      <c r="I46" s="6"/>
      <c r="J46" s="6"/>
      <c r="K46" s="6"/>
      <c r="L46" s="7">
        <f>SUM(G46:K46)</f>
        <v>0</v>
      </c>
    </row>
    <row r="47" spans="1:18" ht="15.75" customHeight="1">
      <c r="A47" s="8"/>
      <c r="B47" s="29"/>
      <c r="C47" s="29"/>
      <c r="D47" s="29"/>
      <c r="E47" s="29"/>
      <c r="F47" s="4"/>
      <c r="G47" s="5"/>
      <c r="H47" s="6"/>
      <c r="I47" s="6"/>
      <c r="J47" s="6"/>
      <c r="K47" s="6"/>
      <c r="L47" s="7">
        <f>SUM(G47:K47)</f>
        <v>0</v>
      </c>
    </row>
    <row r="48" spans="1:18" ht="15.75" customHeight="1">
      <c r="A48" s="8"/>
      <c r="B48" s="29"/>
      <c r="C48" s="29"/>
      <c r="D48" s="29"/>
      <c r="E48" s="29"/>
      <c r="F48" s="4"/>
      <c r="G48" s="5"/>
      <c r="H48" s="6"/>
      <c r="I48" s="6"/>
      <c r="J48" s="6"/>
      <c r="K48" s="6"/>
      <c r="L48" s="97">
        <f>SUM(G48:K48)</f>
        <v>0</v>
      </c>
    </row>
    <row r="49" spans="1:18" ht="15.75" customHeight="1" thickBot="1">
      <c r="A49" s="37"/>
      <c r="B49" s="45"/>
      <c r="C49" s="45"/>
      <c r="D49" s="45"/>
      <c r="E49" s="45"/>
      <c r="F49" s="28" t="s">
        <v>24</v>
      </c>
      <c r="G49" s="204">
        <f t="shared" ref="G49:L49" si="21">ROUND(SUM(G46:G48),0)</f>
        <v>0</v>
      </c>
      <c r="H49" s="204">
        <f t="shared" si="21"/>
        <v>0</v>
      </c>
      <c r="I49" s="204">
        <f t="shared" si="21"/>
        <v>0</v>
      </c>
      <c r="J49" s="204">
        <f t="shared" si="21"/>
        <v>0</v>
      </c>
      <c r="K49" s="204">
        <f t="shared" si="21"/>
        <v>0</v>
      </c>
      <c r="L49" s="206">
        <f t="shared" si="21"/>
        <v>0</v>
      </c>
    </row>
    <row r="50" spans="1:18" ht="15.75" customHeight="1" thickBot="1">
      <c r="A50" s="188" t="s">
        <v>201</v>
      </c>
      <c r="B50" s="189"/>
      <c r="C50" s="189"/>
      <c r="D50" s="189"/>
      <c r="E50" s="189"/>
      <c r="F50" s="190"/>
      <c r="G50" s="191"/>
      <c r="H50" s="186"/>
      <c r="I50" s="186"/>
      <c r="J50" s="186"/>
      <c r="K50" s="186"/>
      <c r="L50" s="187"/>
    </row>
    <row r="51" spans="1:18" ht="15.75" customHeight="1">
      <c r="A51" s="8" t="s">
        <v>69</v>
      </c>
      <c r="B51" s="29"/>
      <c r="C51" s="29"/>
      <c r="D51" s="29"/>
      <c r="E51" s="29"/>
      <c r="F51" s="4"/>
      <c r="G51" s="5"/>
      <c r="H51" s="6"/>
      <c r="I51" s="6"/>
      <c r="J51" s="6"/>
      <c r="K51" s="6"/>
      <c r="L51" s="7">
        <f t="shared" ref="L51:L56" si="22">SUM(G51:K51)</f>
        <v>0</v>
      </c>
      <c r="M51" s="504" t="s">
        <v>284</v>
      </c>
      <c r="N51" s="504"/>
      <c r="O51" s="504"/>
      <c r="P51" s="504"/>
      <c r="Q51" s="504"/>
      <c r="R51" s="505"/>
    </row>
    <row r="52" spans="1:18" ht="15.75" customHeight="1">
      <c r="A52" s="8" t="s">
        <v>70</v>
      </c>
      <c r="B52" s="29"/>
      <c r="C52" s="29"/>
      <c r="D52" s="29"/>
      <c r="E52" s="29"/>
      <c r="F52" s="4"/>
      <c r="G52" s="5"/>
      <c r="H52" s="6"/>
      <c r="I52" s="6"/>
      <c r="J52" s="6"/>
      <c r="K52" s="6"/>
      <c r="L52" s="7">
        <f t="shared" si="22"/>
        <v>0</v>
      </c>
      <c r="M52" s="507"/>
      <c r="N52" s="507"/>
      <c r="O52" s="507"/>
      <c r="P52" s="507"/>
      <c r="Q52" s="507"/>
      <c r="R52" s="508"/>
    </row>
    <row r="53" spans="1:18" ht="15.75" customHeight="1">
      <c r="A53" s="8"/>
      <c r="B53" s="29"/>
      <c r="C53" s="29"/>
      <c r="D53" s="29"/>
      <c r="E53" s="29"/>
      <c r="F53" s="4"/>
      <c r="G53" s="5"/>
      <c r="H53" s="6"/>
      <c r="I53" s="6"/>
      <c r="J53" s="6"/>
      <c r="K53" s="6"/>
      <c r="L53" s="7">
        <f t="shared" si="22"/>
        <v>0</v>
      </c>
      <c r="M53" s="507"/>
      <c r="N53" s="507"/>
      <c r="O53" s="507"/>
      <c r="P53" s="507"/>
      <c r="Q53" s="507"/>
      <c r="R53" s="508"/>
    </row>
    <row r="54" spans="1:18" ht="15.75" customHeight="1" thickBot="1">
      <c r="A54" s="8"/>
      <c r="B54" s="29"/>
      <c r="C54" s="29"/>
      <c r="D54" s="29"/>
      <c r="E54" s="29"/>
      <c r="F54" s="4"/>
      <c r="G54" s="5"/>
      <c r="H54" s="6"/>
      <c r="I54" s="6"/>
      <c r="J54" s="6"/>
      <c r="K54" s="6"/>
      <c r="L54" s="7">
        <f t="shared" si="22"/>
        <v>0</v>
      </c>
      <c r="M54" s="510"/>
      <c r="N54" s="510"/>
      <c r="O54" s="510"/>
      <c r="P54" s="510"/>
      <c r="Q54" s="510"/>
      <c r="R54" s="511"/>
    </row>
    <row r="55" spans="1:18" ht="15.75" customHeight="1">
      <c r="A55" s="8"/>
      <c r="B55" s="29"/>
      <c r="C55" s="29"/>
      <c r="D55" s="29"/>
      <c r="E55" s="29"/>
      <c r="F55" s="4"/>
      <c r="G55" s="5"/>
      <c r="H55" s="6"/>
      <c r="I55" s="6"/>
      <c r="J55" s="6"/>
      <c r="K55" s="6"/>
      <c r="L55" s="7">
        <f t="shared" si="22"/>
        <v>0</v>
      </c>
    </row>
    <row r="56" spans="1:18" ht="15.75" customHeight="1">
      <c r="A56" s="8"/>
      <c r="B56" s="29"/>
      <c r="C56" s="29"/>
      <c r="D56" s="29"/>
      <c r="E56" s="29"/>
      <c r="F56" s="4"/>
      <c r="G56" s="5"/>
      <c r="H56" s="6"/>
      <c r="I56" s="6"/>
      <c r="J56" s="6"/>
      <c r="K56" s="6"/>
      <c r="L56" s="7">
        <f t="shared" si="22"/>
        <v>0</v>
      </c>
    </row>
    <row r="57" spans="1:18" ht="15.75" customHeight="1" thickBot="1">
      <c r="A57" s="21"/>
      <c r="B57" s="24"/>
      <c r="C57" s="24"/>
      <c r="D57" s="24"/>
      <c r="E57" s="24"/>
      <c r="F57" s="32" t="s">
        <v>27</v>
      </c>
      <c r="G57" s="204">
        <f t="shared" ref="G57:L57" si="23">ROUND(SUM(G51:G56),0)</f>
        <v>0</v>
      </c>
      <c r="H57" s="204">
        <f t="shared" si="23"/>
        <v>0</v>
      </c>
      <c r="I57" s="204">
        <f t="shared" si="23"/>
        <v>0</v>
      </c>
      <c r="J57" s="204">
        <f t="shared" si="23"/>
        <v>0</v>
      </c>
      <c r="K57" s="204">
        <f t="shared" si="23"/>
        <v>0</v>
      </c>
      <c r="L57" s="206">
        <f t="shared" si="23"/>
        <v>0</v>
      </c>
    </row>
    <row r="58" spans="1:18" ht="15.75" customHeight="1" thickBot="1">
      <c r="A58" s="179" t="s">
        <v>43</v>
      </c>
      <c r="B58" s="180"/>
      <c r="C58" s="180"/>
      <c r="D58" s="180"/>
      <c r="E58" s="180"/>
      <c r="F58" s="181"/>
      <c r="G58" s="191"/>
      <c r="H58" s="186"/>
      <c r="I58" s="186"/>
      <c r="J58" s="186"/>
      <c r="K58" s="186"/>
      <c r="L58" s="187"/>
    </row>
    <row r="59" spans="1:18" ht="15.75" customHeight="1">
      <c r="A59" s="8" t="s">
        <v>185</v>
      </c>
      <c r="B59" s="29"/>
      <c r="C59" s="29"/>
      <c r="D59" s="29"/>
      <c r="E59" s="29"/>
      <c r="F59" s="4"/>
      <c r="G59" s="5"/>
      <c r="H59" s="6"/>
      <c r="I59" s="6"/>
      <c r="J59" s="6"/>
      <c r="K59" s="6"/>
      <c r="L59" s="7">
        <f>SUM(G59:K59)</f>
        <v>0</v>
      </c>
    </row>
    <row r="60" spans="1:18" ht="15.75" customHeight="1">
      <c r="A60" s="8" t="s">
        <v>186</v>
      </c>
      <c r="B60" s="29"/>
      <c r="C60" s="29"/>
      <c r="D60" s="29"/>
      <c r="E60" s="29"/>
      <c r="F60" s="4"/>
      <c r="G60" s="5"/>
      <c r="H60" s="6"/>
      <c r="I60" s="6"/>
      <c r="J60" s="6"/>
      <c r="K60" s="6"/>
      <c r="L60" s="7">
        <f>SUM(G60:K60)</f>
        <v>0</v>
      </c>
    </row>
    <row r="61" spans="1:18" ht="15.75" customHeight="1" thickBot="1">
      <c r="A61" s="19"/>
      <c r="B61" s="44"/>
      <c r="C61" s="44"/>
      <c r="D61" s="44"/>
      <c r="E61" s="44"/>
      <c r="F61" s="32" t="s">
        <v>28</v>
      </c>
      <c r="G61" s="204">
        <f t="shared" ref="G61:L61" si="24">SUM(G59:G60)</f>
        <v>0</v>
      </c>
      <c r="H61" s="204">
        <f t="shared" si="24"/>
        <v>0</v>
      </c>
      <c r="I61" s="204">
        <f t="shared" si="24"/>
        <v>0</v>
      </c>
      <c r="J61" s="204">
        <f t="shared" si="24"/>
        <v>0</v>
      </c>
      <c r="K61" s="204">
        <f t="shared" si="24"/>
        <v>0</v>
      </c>
      <c r="L61" s="206">
        <f t="shared" si="24"/>
        <v>0</v>
      </c>
    </row>
    <row r="62" spans="1:18" ht="15.75" customHeight="1" thickBot="1">
      <c r="A62" s="179" t="s">
        <v>193</v>
      </c>
      <c r="B62" s="180"/>
      <c r="C62" s="180"/>
      <c r="D62" s="180"/>
      <c r="E62" s="180"/>
      <c r="F62" s="181"/>
      <c r="G62" s="191"/>
      <c r="H62" s="186"/>
      <c r="I62" s="186"/>
      <c r="J62" s="186"/>
      <c r="K62" s="186"/>
      <c r="L62" s="187"/>
    </row>
    <row r="63" spans="1:18" ht="15.75" customHeight="1">
      <c r="A63" s="8"/>
      <c r="B63" s="29"/>
      <c r="C63" s="29"/>
      <c r="D63" s="29"/>
      <c r="E63" s="29"/>
      <c r="F63" s="4"/>
      <c r="G63" s="5"/>
      <c r="H63" s="6"/>
      <c r="I63" s="6"/>
      <c r="J63" s="6"/>
      <c r="K63" s="6"/>
      <c r="L63" s="7">
        <f>SUM(G63:K63)</f>
        <v>0</v>
      </c>
    </row>
    <row r="64" spans="1:18" ht="15.75" customHeight="1">
      <c r="A64" s="8"/>
      <c r="B64" s="29"/>
      <c r="C64" s="29"/>
      <c r="D64" s="29"/>
      <c r="E64" s="29"/>
      <c r="F64" s="4"/>
      <c r="G64" s="5"/>
      <c r="H64" s="6"/>
      <c r="I64" s="6"/>
      <c r="J64" s="6"/>
      <c r="K64" s="6"/>
      <c r="L64" s="7">
        <f>SUM(G64:K64)</f>
        <v>0</v>
      </c>
    </row>
    <row r="65" spans="1:13" ht="15.75" customHeight="1">
      <c r="A65" s="8"/>
      <c r="B65" s="29"/>
      <c r="C65" s="29"/>
      <c r="D65" s="29"/>
      <c r="E65" s="29"/>
      <c r="F65" s="4"/>
      <c r="G65" s="5"/>
      <c r="H65" s="6"/>
      <c r="I65" s="6"/>
      <c r="J65" s="6"/>
      <c r="K65" s="6"/>
      <c r="L65" s="7">
        <f>SUM(G65:K65)</f>
        <v>0</v>
      </c>
    </row>
    <row r="66" spans="1:13" ht="15.75" customHeight="1">
      <c r="A66" s="8"/>
      <c r="B66" s="29"/>
      <c r="C66" s="29"/>
      <c r="D66" s="29"/>
      <c r="E66" s="29"/>
      <c r="F66" s="4"/>
      <c r="G66" s="5"/>
      <c r="H66" s="6"/>
      <c r="I66" s="6"/>
      <c r="J66" s="6"/>
      <c r="K66" s="6"/>
      <c r="L66" s="7">
        <f>SUM(G66:K66)</f>
        <v>0</v>
      </c>
    </row>
    <row r="67" spans="1:13" ht="15.75" customHeight="1" thickBot="1">
      <c r="A67" s="19"/>
      <c r="B67" s="44"/>
      <c r="C67" s="44"/>
      <c r="D67" s="44"/>
      <c r="E67" s="44"/>
      <c r="F67" s="32" t="s">
        <v>29</v>
      </c>
      <c r="G67" s="204">
        <f t="shared" ref="G67:L67" si="25">ROUND(SUM(G63:G66),0)</f>
        <v>0</v>
      </c>
      <c r="H67" s="204">
        <f t="shared" si="25"/>
        <v>0</v>
      </c>
      <c r="I67" s="204">
        <f t="shared" si="25"/>
        <v>0</v>
      </c>
      <c r="J67" s="204">
        <f t="shared" si="25"/>
        <v>0</v>
      </c>
      <c r="K67" s="204">
        <f t="shared" si="25"/>
        <v>0</v>
      </c>
      <c r="L67" s="206">
        <f t="shared" si="25"/>
        <v>0</v>
      </c>
    </row>
    <row r="68" spans="1:13" ht="15.75" customHeight="1" thickBot="1">
      <c r="A68" s="179" t="s">
        <v>192</v>
      </c>
      <c r="B68" s="192" t="s">
        <v>196</v>
      </c>
      <c r="C68" s="180"/>
      <c r="D68" s="180"/>
      <c r="E68" s="180"/>
      <c r="F68" s="193"/>
      <c r="G68" s="194"/>
      <c r="H68" s="195"/>
      <c r="I68" s="195"/>
      <c r="J68" s="195"/>
      <c r="K68" s="195"/>
      <c r="L68" s="196"/>
    </row>
    <row r="69" spans="1:13" ht="15.75" customHeight="1">
      <c r="A69" s="19" t="s">
        <v>195</v>
      </c>
      <c r="B69" s="44"/>
      <c r="C69" s="44"/>
      <c r="D69" s="44"/>
      <c r="E69" s="44"/>
      <c r="F69" s="43"/>
      <c r="G69" s="5"/>
      <c r="H69" s="6"/>
      <c r="I69" s="6"/>
      <c r="J69" s="6"/>
      <c r="K69" s="6"/>
      <c r="L69" s="7">
        <f>SUM(G69:K69)</f>
        <v>0</v>
      </c>
    </row>
    <row r="70" spans="1:13" ht="15.75" customHeight="1" thickBot="1">
      <c r="A70" s="19"/>
      <c r="B70" s="44"/>
      <c r="C70" s="44"/>
      <c r="D70" s="44"/>
      <c r="E70" s="44"/>
      <c r="F70" s="43"/>
      <c r="G70" s="204">
        <f t="shared" ref="G70:L70" si="26">SUM(G69)</f>
        <v>0</v>
      </c>
      <c r="H70" s="204">
        <f t="shared" si="26"/>
        <v>0</v>
      </c>
      <c r="I70" s="204">
        <f t="shared" si="26"/>
        <v>0</v>
      </c>
      <c r="J70" s="204">
        <f t="shared" si="26"/>
        <v>0</v>
      </c>
      <c r="K70" s="204">
        <f t="shared" si="26"/>
        <v>0</v>
      </c>
      <c r="L70" s="206">
        <f t="shared" si="26"/>
        <v>0</v>
      </c>
    </row>
    <row r="71" spans="1:13" ht="15.75" customHeight="1" thickBot="1">
      <c r="A71" s="179" t="s">
        <v>194</v>
      </c>
      <c r="B71" s="180"/>
      <c r="C71" s="180"/>
      <c r="D71" s="180"/>
      <c r="E71" s="180"/>
      <c r="F71" s="197"/>
      <c r="G71" s="191"/>
      <c r="H71" s="186"/>
      <c r="I71" s="186"/>
      <c r="J71" s="186"/>
      <c r="K71" s="186"/>
      <c r="L71" s="187"/>
    </row>
    <row r="72" spans="1:13" ht="15.75" customHeight="1">
      <c r="A72" s="19"/>
      <c r="B72" s="44"/>
      <c r="C72" s="44"/>
      <c r="D72" s="44"/>
      <c r="E72" s="44"/>
      <c r="F72" s="44"/>
      <c r="G72" s="285"/>
      <c r="H72" s="286"/>
      <c r="I72" s="286"/>
      <c r="J72" s="286"/>
      <c r="K72" s="286"/>
      <c r="L72" s="11">
        <f>SUM(G72:K72)</f>
        <v>0</v>
      </c>
      <c r="M72" s="39"/>
    </row>
    <row r="73" spans="1:13" s="39" customFormat="1" ht="15.75" customHeight="1" thickBot="1">
      <c r="A73" s="19"/>
      <c r="B73" s="44"/>
      <c r="C73" s="44"/>
      <c r="D73" s="44"/>
      <c r="E73" s="44"/>
      <c r="F73" s="43" t="s">
        <v>30</v>
      </c>
      <c r="G73" s="204">
        <f t="shared" ref="G73:L73" si="27">ROUND(SUM(G72),0)</f>
        <v>0</v>
      </c>
      <c r="H73" s="204">
        <f t="shared" si="27"/>
        <v>0</v>
      </c>
      <c r="I73" s="204">
        <f t="shared" si="27"/>
        <v>0</v>
      </c>
      <c r="J73" s="204">
        <f t="shared" si="27"/>
        <v>0</v>
      </c>
      <c r="K73" s="204">
        <f t="shared" si="27"/>
        <v>0</v>
      </c>
      <c r="L73" s="206">
        <f t="shared" si="27"/>
        <v>0</v>
      </c>
    </row>
    <row r="74" spans="1:13" s="39" customFormat="1" ht="15.75" customHeight="1" thickBot="1">
      <c r="A74" s="179" t="s">
        <v>199</v>
      </c>
      <c r="B74" s="180"/>
      <c r="C74" s="180"/>
      <c r="D74" s="180"/>
      <c r="E74" s="180"/>
      <c r="F74" s="181"/>
      <c r="G74" s="191"/>
      <c r="H74" s="186"/>
      <c r="I74" s="186"/>
      <c r="J74" s="186"/>
      <c r="K74" s="186"/>
      <c r="L74" s="187"/>
      <c r="M74" s="290"/>
    </row>
    <row r="75" spans="1:13" ht="15.75" customHeight="1">
      <c r="A75" s="19"/>
      <c r="B75" s="44"/>
      <c r="C75" s="44"/>
      <c r="D75" s="44"/>
      <c r="E75" s="44"/>
      <c r="F75" s="4"/>
      <c r="G75" s="5"/>
      <c r="H75" s="6"/>
      <c r="I75" s="6"/>
      <c r="J75" s="6"/>
      <c r="K75" s="6"/>
      <c r="L75" s="7">
        <f>SUM(G75:K75)</f>
        <v>0</v>
      </c>
    </row>
    <row r="76" spans="1:13" ht="15.75" customHeight="1">
      <c r="A76" s="21"/>
      <c r="B76" s="24"/>
      <c r="C76" s="24"/>
      <c r="D76" s="24"/>
      <c r="E76" s="24"/>
      <c r="F76" s="16"/>
      <c r="G76" s="285"/>
      <c r="H76" s="286"/>
      <c r="I76" s="286"/>
      <c r="J76" s="286"/>
      <c r="K76" s="286"/>
      <c r="L76" s="7">
        <f>SUM(G76:K76)</f>
        <v>0</v>
      </c>
    </row>
    <row r="77" spans="1:13" ht="15.75" customHeight="1" thickBot="1">
      <c r="A77" s="19"/>
      <c r="B77" s="44"/>
      <c r="C77" s="44"/>
      <c r="D77" s="44"/>
      <c r="E77" s="44"/>
      <c r="F77" s="32" t="s">
        <v>31</v>
      </c>
      <c r="G77" s="204">
        <f t="shared" ref="G77:L77" si="28">SUM(G75:G76)</f>
        <v>0</v>
      </c>
      <c r="H77" s="204">
        <f t="shared" si="28"/>
        <v>0</v>
      </c>
      <c r="I77" s="204">
        <f t="shared" si="28"/>
        <v>0</v>
      </c>
      <c r="J77" s="204">
        <f t="shared" si="28"/>
        <v>0</v>
      </c>
      <c r="K77" s="204">
        <f t="shared" si="28"/>
        <v>0</v>
      </c>
      <c r="L77" s="206">
        <f t="shared" si="28"/>
        <v>0</v>
      </c>
      <c r="M77" s="39"/>
    </row>
    <row r="78" spans="1:13" s="39" customFormat="1" ht="15.75" customHeight="1" thickBot="1">
      <c r="A78" s="179" t="s">
        <v>44</v>
      </c>
      <c r="B78" s="180"/>
      <c r="C78" s="180"/>
      <c r="D78" s="180"/>
      <c r="E78" s="180"/>
      <c r="F78" s="181"/>
      <c r="G78" s="186"/>
      <c r="H78" s="186"/>
      <c r="I78" s="186"/>
      <c r="J78" s="186"/>
      <c r="K78" s="186"/>
      <c r="L78" s="187"/>
      <c r="M78" s="290"/>
    </row>
    <row r="79" spans="1:13" ht="15.75" customHeight="1">
      <c r="A79" s="19"/>
      <c r="B79" s="44"/>
      <c r="C79" s="44"/>
      <c r="D79" s="44"/>
      <c r="E79" s="44"/>
      <c r="F79" s="44"/>
      <c r="G79" s="285"/>
      <c r="H79" s="286"/>
      <c r="I79" s="286"/>
      <c r="J79" s="286"/>
      <c r="K79" s="286"/>
      <c r="L79" s="11">
        <f>SUM(G79:K79)</f>
        <v>0</v>
      </c>
      <c r="M79" s="39"/>
    </row>
    <row r="80" spans="1:13" s="39" customFormat="1" ht="15.75" customHeight="1" thickBot="1">
      <c r="A80" s="19"/>
      <c r="B80" s="44"/>
      <c r="C80" s="44"/>
      <c r="D80" s="44"/>
      <c r="E80" s="44"/>
      <c r="F80" s="43" t="s">
        <v>32</v>
      </c>
      <c r="G80" s="204">
        <f t="shared" ref="G80:L80" si="29">SUM(G79)</f>
        <v>0</v>
      </c>
      <c r="H80" s="204">
        <f t="shared" si="29"/>
        <v>0</v>
      </c>
      <c r="I80" s="204">
        <f t="shared" si="29"/>
        <v>0</v>
      </c>
      <c r="J80" s="204">
        <f t="shared" si="29"/>
        <v>0</v>
      </c>
      <c r="K80" s="204">
        <f t="shared" si="29"/>
        <v>0</v>
      </c>
      <c r="L80" s="206">
        <f t="shared" si="29"/>
        <v>0</v>
      </c>
    </row>
    <row r="81" spans="1:23" s="39" customFormat="1" ht="15.75" customHeight="1" thickBot="1">
      <c r="A81" s="179" t="s">
        <v>200</v>
      </c>
      <c r="B81" s="180"/>
      <c r="C81" s="180"/>
      <c r="D81" s="180"/>
      <c r="E81" s="180"/>
      <c r="F81" s="181"/>
      <c r="G81" s="186"/>
      <c r="H81" s="186"/>
      <c r="I81" s="186"/>
      <c r="J81" s="186"/>
      <c r="K81" s="186"/>
      <c r="L81" s="187"/>
      <c r="M81" s="290"/>
    </row>
    <row r="82" spans="1:23" ht="15.75" customHeight="1">
      <c r="A82" s="19"/>
      <c r="B82" s="44"/>
      <c r="C82" s="44"/>
      <c r="D82" s="44"/>
      <c r="E82" s="44"/>
      <c r="F82" s="16"/>
      <c r="G82" s="285"/>
      <c r="H82" s="286"/>
      <c r="I82" s="286"/>
      <c r="J82" s="286"/>
      <c r="K82" s="286"/>
      <c r="L82" s="11">
        <f>SUM(G82:K82)</f>
        <v>0</v>
      </c>
      <c r="M82" s="39"/>
    </row>
    <row r="83" spans="1:23" s="39" customFormat="1" ht="15.75" customHeight="1" thickBot="1">
      <c r="A83" s="19"/>
      <c r="B83" s="44"/>
      <c r="C83" s="44"/>
      <c r="D83" s="44"/>
      <c r="E83" s="44"/>
      <c r="F83" s="32" t="s">
        <v>33</v>
      </c>
      <c r="G83" s="204">
        <f t="shared" ref="G83:L83" si="30">SUM(G82)</f>
        <v>0</v>
      </c>
      <c r="H83" s="204">
        <f t="shared" ref="H83" si="31">SUM(H82)</f>
        <v>0</v>
      </c>
      <c r="I83" s="204">
        <f t="shared" si="30"/>
        <v>0</v>
      </c>
      <c r="J83" s="204">
        <f t="shared" si="30"/>
        <v>0</v>
      </c>
      <c r="K83" s="204">
        <f t="shared" si="30"/>
        <v>0</v>
      </c>
      <c r="L83" s="206">
        <f t="shared" si="30"/>
        <v>0</v>
      </c>
    </row>
    <row r="84" spans="1:23" s="39" customFormat="1" ht="15.75" customHeight="1" thickBot="1">
      <c r="A84" s="132" t="s">
        <v>9</v>
      </c>
      <c r="B84" s="133"/>
      <c r="C84" s="133"/>
      <c r="D84" s="133"/>
      <c r="E84" s="133"/>
      <c r="F84" s="134"/>
      <c r="G84" s="131">
        <f t="shared" ref="G84:L84" si="32">ROUND(SUM(G41+G43+G49+G57+G67+G70+G73+G77+G80+G61+G83),0)</f>
        <v>0</v>
      </c>
      <c r="H84" s="131">
        <f t="shared" si="32"/>
        <v>0</v>
      </c>
      <c r="I84" s="131">
        <f t="shared" si="32"/>
        <v>0</v>
      </c>
      <c r="J84" s="131">
        <f t="shared" si="32"/>
        <v>0</v>
      </c>
      <c r="K84" s="131">
        <f t="shared" si="32"/>
        <v>0</v>
      </c>
      <c r="L84" s="300">
        <f t="shared" si="32"/>
        <v>0</v>
      </c>
      <c r="M84" s="312" t="s">
        <v>324</v>
      </c>
      <c r="N84" s="313"/>
      <c r="O84" s="313"/>
      <c r="P84" s="315"/>
      <c r="Q84" s="313"/>
      <c r="R84" s="314"/>
    </row>
    <row r="85" spans="1:23" s="39" customFormat="1" ht="15.75" customHeight="1" thickBot="1">
      <c r="A85" s="304" t="s">
        <v>321</v>
      </c>
      <c r="B85" s="305"/>
      <c r="C85" s="305"/>
      <c r="D85" s="305"/>
      <c r="E85" s="305"/>
      <c r="F85" s="306"/>
      <c r="G85" s="310"/>
      <c r="H85" s="310"/>
      <c r="I85" s="310"/>
      <c r="J85" s="310"/>
      <c r="K85" s="310"/>
      <c r="L85" s="310"/>
      <c r="M85" s="290"/>
    </row>
    <row r="86" spans="1:23" s="39" customFormat="1" ht="15.75" customHeight="1" thickBot="1">
      <c r="A86" s="307" t="s">
        <v>322</v>
      </c>
      <c r="B86" s="308"/>
      <c r="C86" s="308"/>
      <c r="D86" s="308"/>
      <c r="E86" s="308"/>
      <c r="F86" s="309"/>
      <c r="G86" s="311">
        <f>G84-G85</f>
        <v>0</v>
      </c>
      <c r="H86" s="311">
        <f t="shared" ref="H86:L86" si="33">H84-H85</f>
        <v>0</v>
      </c>
      <c r="I86" s="311">
        <f t="shared" si="33"/>
        <v>0</v>
      </c>
      <c r="J86" s="311">
        <f t="shared" si="33"/>
        <v>0</v>
      </c>
      <c r="K86" s="311">
        <f t="shared" si="33"/>
        <v>0</v>
      </c>
      <c r="L86" s="311">
        <f t="shared" si="33"/>
        <v>0</v>
      </c>
      <c r="M86" s="488" t="s">
        <v>323</v>
      </c>
      <c r="N86" s="489"/>
      <c r="O86" s="489"/>
      <c r="P86" s="489"/>
      <c r="Q86" s="489"/>
      <c r="R86" s="490"/>
    </row>
    <row r="87" spans="1:23" ht="15.75" customHeight="1" thickBot="1">
      <c r="A87" s="179" t="s">
        <v>12</v>
      </c>
      <c r="B87" s="180"/>
      <c r="C87" s="180"/>
      <c r="D87" s="180"/>
      <c r="E87" s="180"/>
      <c r="F87" s="181"/>
      <c r="G87" s="186"/>
      <c r="H87" s="186"/>
      <c r="I87" s="186"/>
      <c r="J87" s="186"/>
      <c r="K87" s="186"/>
      <c r="L87" s="198"/>
      <c r="M87" s="494"/>
      <c r="N87" s="495"/>
      <c r="O87" s="495"/>
      <c r="P87" s="495"/>
      <c r="Q87" s="495"/>
      <c r="R87" s="496"/>
    </row>
    <row r="88" spans="1:23" ht="15.75" customHeight="1">
      <c r="A88" s="8" t="s">
        <v>10</v>
      </c>
      <c r="B88" s="29"/>
      <c r="C88" s="29"/>
      <c r="D88" s="29"/>
      <c r="E88" s="29"/>
      <c r="F88" s="4"/>
      <c r="G88" s="1">
        <f>G21+G25</f>
        <v>0</v>
      </c>
      <c r="H88" s="2">
        <f>H21+H25</f>
        <v>0</v>
      </c>
      <c r="I88" s="2">
        <f>SUM(I21+I25)</f>
        <v>0</v>
      </c>
      <c r="J88" s="2">
        <f>SUM(J21+J25)</f>
        <v>0</v>
      </c>
      <c r="K88" s="2">
        <f>SUM(K21+K25)</f>
        <v>0</v>
      </c>
      <c r="L88" s="3">
        <f>SUM(L21+L25)</f>
        <v>0</v>
      </c>
    </row>
    <row r="89" spans="1:23" ht="15.75" customHeight="1">
      <c r="A89" s="8" t="s">
        <v>11</v>
      </c>
      <c r="B89" s="29"/>
      <c r="C89" s="29"/>
      <c r="D89" s="29"/>
      <c r="E89" s="29"/>
      <c r="F89" s="4"/>
      <c r="G89" s="285">
        <f t="shared" ref="G89:L89" si="34">+G49</f>
        <v>0</v>
      </c>
      <c r="H89" s="286">
        <f t="shared" si="34"/>
        <v>0</v>
      </c>
      <c r="I89" s="286">
        <f t="shared" si="34"/>
        <v>0</v>
      </c>
      <c r="J89" s="286">
        <f t="shared" si="34"/>
        <v>0</v>
      </c>
      <c r="K89" s="286">
        <f t="shared" si="34"/>
        <v>0</v>
      </c>
      <c r="L89" s="11">
        <f t="shared" si="34"/>
        <v>0</v>
      </c>
    </row>
    <row r="90" spans="1:23" ht="21.75">
      <c r="A90" s="8" t="s">
        <v>315</v>
      </c>
      <c r="B90" s="29"/>
      <c r="C90" s="29"/>
      <c r="D90" s="100"/>
      <c r="E90" s="29"/>
      <c r="F90" s="4"/>
      <c r="G90" s="98">
        <f>IF(G63&gt;=25000,SUM(G63-25000),0)+IF(G64&gt;=25000,SUM(G64-25000),0)+IF(G65&gt;=25000,SUM(G65-25000),0)+IF(G66&gt;=25000,SUM(G66-25000),0)</f>
        <v>0</v>
      </c>
      <c r="H90" s="99"/>
      <c r="I90" s="286"/>
      <c r="J90" s="286"/>
      <c r="K90" s="286"/>
      <c r="L90" s="101">
        <f>SUM(G90:K90)</f>
        <v>0</v>
      </c>
      <c r="N90" s="229"/>
      <c r="O90" s="229"/>
      <c r="P90" s="229"/>
      <c r="Q90" s="229"/>
      <c r="R90" s="229"/>
      <c r="S90" s="229"/>
      <c r="T90" s="229"/>
      <c r="U90" s="229"/>
      <c r="V90" s="229"/>
      <c r="W90" s="229"/>
    </row>
    <row r="91" spans="1:23" ht="22.5" thickBot="1">
      <c r="A91" s="17" t="s">
        <v>22</v>
      </c>
      <c r="B91" s="22"/>
      <c r="C91" s="22"/>
      <c r="D91" s="22"/>
      <c r="E91" s="22"/>
      <c r="F91" s="18"/>
      <c r="G91" s="285">
        <v>0</v>
      </c>
      <c r="H91" s="286"/>
      <c r="I91" s="286"/>
      <c r="J91" s="286"/>
      <c r="K91" s="286"/>
      <c r="L91" s="101">
        <f>SUM(G91:K91)</f>
        <v>0</v>
      </c>
      <c r="N91" s="229"/>
      <c r="O91" s="229"/>
      <c r="P91" s="229"/>
      <c r="Q91" s="229"/>
      <c r="R91" s="229"/>
      <c r="S91" s="229"/>
      <c r="T91" s="229"/>
      <c r="U91" s="229"/>
      <c r="V91" s="229"/>
      <c r="W91" s="229"/>
    </row>
    <row r="92" spans="1:23" ht="22.5" thickBot="1">
      <c r="A92" s="23"/>
      <c r="B92" s="38"/>
      <c r="C92" s="38"/>
      <c r="D92" s="38"/>
      <c r="E92" s="38"/>
      <c r="F92" s="296" t="s">
        <v>51</v>
      </c>
      <c r="G92" s="131">
        <f t="shared" ref="G92:L92" si="35">SUM(G84-(G88+G89+G90+G91),0)</f>
        <v>0</v>
      </c>
      <c r="H92" s="131">
        <f t="shared" si="35"/>
        <v>0</v>
      </c>
      <c r="I92" s="131">
        <f t="shared" si="35"/>
        <v>0</v>
      </c>
      <c r="J92" s="131">
        <f t="shared" si="35"/>
        <v>0</v>
      </c>
      <c r="K92" s="131">
        <f t="shared" si="35"/>
        <v>0</v>
      </c>
      <c r="L92" s="300">
        <f t="shared" si="35"/>
        <v>0</v>
      </c>
      <c r="M92" s="268" t="s">
        <v>288</v>
      </c>
      <c r="N92" s="229"/>
      <c r="O92" s="229"/>
      <c r="P92" s="229"/>
      <c r="Q92" s="229"/>
      <c r="R92" s="229"/>
      <c r="S92" s="229"/>
      <c r="T92" s="229"/>
      <c r="U92" s="229"/>
      <c r="V92" s="229"/>
      <c r="W92" s="229"/>
    </row>
    <row r="93" spans="1:23" ht="22.5" thickBot="1">
      <c r="A93" s="123" t="s">
        <v>14</v>
      </c>
      <c r="B93" s="124"/>
      <c r="C93" s="124"/>
      <c r="D93" s="124"/>
      <c r="E93" s="226" t="s">
        <v>191</v>
      </c>
      <c r="F93" s="94">
        <v>0.51</v>
      </c>
      <c r="G93" s="205">
        <f>ROUND(G92*F93,0)</f>
        <v>0</v>
      </c>
      <c r="H93" s="205">
        <f>ROUND(H92*$F93,0)</f>
        <v>0</v>
      </c>
      <c r="I93" s="205">
        <f t="shared" ref="I93:K93" si="36">ROUND(I92*$F93,0)</f>
        <v>0</v>
      </c>
      <c r="J93" s="205">
        <f t="shared" si="36"/>
        <v>0</v>
      </c>
      <c r="K93" s="205">
        <f t="shared" si="36"/>
        <v>0</v>
      </c>
      <c r="L93" s="301">
        <f>ROUND((L92*F93),0)</f>
        <v>0</v>
      </c>
      <c r="M93" s="299">
        <f>SUM(G93:K93)</f>
        <v>0</v>
      </c>
      <c r="N93" s="229"/>
      <c r="O93" s="229"/>
      <c r="P93" s="229"/>
      <c r="Q93" s="229"/>
      <c r="R93" s="229"/>
      <c r="S93" s="229"/>
      <c r="T93" s="229"/>
      <c r="U93" s="229"/>
      <c r="V93" s="229"/>
      <c r="W93" s="229"/>
    </row>
    <row r="94" spans="1:23" ht="15.75" customHeight="1" thickBot="1">
      <c r="A94" s="135" t="s">
        <v>36</v>
      </c>
      <c r="B94" s="136"/>
      <c r="C94" s="136"/>
      <c r="D94" s="136"/>
      <c r="E94" s="136"/>
      <c r="F94" s="137"/>
      <c r="G94" s="131">
        <f t="shared" ref="G94:L94" si="37">ROUND(SUM(G84+G93),0)</f>
        <v>0</v>
      </c>
      <c r="H94" s="131">
        <f t="shared" si="37"/>
        <v>0</v>
      </c>
      <c r="I94" s="131">
        <f t="shared" si="37"/>
        <v>0</v>
      </c>
      <c r="J94" s="131">
        <f t="shared" si="37"/>
        <v>0</v>
      </c>
      <c r="K94" s="131">
        <f t="shared" si="37"/>
        <v>0</v>
      </c>
      <c r="L94" s="300">
        <f t="shared" si="37"/>
        <v>0</v>
      </c>
    </row>
    <row r="95" spans="1:23" ht="15.75" customHeight="1" thickBot="1">
      <c r="A95" s="126" t="s">
        <v>56</v>
      </c>
      <c r="B95" s="26" t="s">
        <v>15</v>
      </c>
      <c r="C95" s="25" t="s">
        <v>16</v>
      </c>
      <c r="D95" s="25" t="s">
        <v>17</v>
      </c>
      <c r="E95" s="25" t="s">
        <v>18</v>
      </c>
      <c r="F95" s="25" t="s">
        <v>19</v>
      </c>
      <c r="G95" s="290"/>
      <c r="H95" s="290"/>
      <c r="I95" s="290"/>
      <c r="J95" s="290"/>
      <c r="K95" s="290"/>
      <c r="L95" s="290"/>
    </row>
    <row r="96" spans="1:23" ht="15.75" customHeight="1" thickBot="1">
      <c r="A96" s="127"/>
      <c r="B96" s="26" t="s">
        <v>188</v>
      </c>
      <c r="C96" s="25"/>
      <c r="D96" s="25"/>
      <c r="E96" s="25"/>
      <c r="F96" s="26"/>
      <c r="G96" s="518" t="s">
        <v>190</v>
      </c>
      <c r="H96" s="519"/>
      <c r="I96" s="519"/>
      <c r="J96" s="519"/>
      <c r="K96" s="519"/>
    </row>
    <row r="97" spans="1:12" s="39" customFormat="1" ht="15.75" customHeight="1"/>
    <row r="98" spans="1:12" s="39" customFormat="1" ht="15.75" customHeight="1" thickBot="1"/>
    <row r="99" spans="1:12" ht="15.75" customHeight="1" thickBot="1">
      <c r="D99" s="512" t="s">
        <v>39</v>
      </c>
      <c r="E99" s="513"/>
      <c r="F99" s="514"/>
      <c r="G99" s="258" t="s">
        <v>182</v>
      </c>
      <c r="H99" s="258" t="s">
        <v>0</v>
      </c>
      <c r="I99" s="258" t="s">
        <v>1</v>
      </c>
      <c r="J99" s="258" t="s">
        <v>2</v>
      </c>
      <c r="K99" s="258" t="s">
        <v>3</v>
      </c>
      <c r="L99" s="258" t="s">
        <v>62</v>
      </c>
    </row>
    <row r="100" spans="1:12" ht="15.75" customHeight="1" thickBot="1">
      <c r="D100" s="8"/>
      <c r="E100" s="29"/>
      <c r="F100" s="51" t="s">
        <v>40</v>
      </c>
      <c r="G100" s="7">
        <f t="shared" ref="G100:L101" si="38">G39</f>
        <v>0</v>
      </c>
      <c r="H100" s="7">
        <f t="shared" si="38"/>
        <v>0</v>
      </c>
      <c r="I100" s="7">
        <f t="shared" si="38"/>
        <v>0</v>
      </c>
      <c r="J100" s="7">
        <f t="shared" si="38"/>
        <v>0</v>
      </c>
      <c r="K100" s="7">
        <f t="shared" si="38"/>
        <v>0</v>
      </c>
      <c r="L100" s="7">
        <f t="shared" si="38"/>
        <v>0</v>
      </c>
    </row>
    <row r="101" spans="1:12" ht="15.75" customHeight="1" thickTop="1">
      <c r="A101" s="515" t="s">
        <v>76</v>
      </c>
      <c r="B101" s="516"/>
      <c r="D101" s="8"/>
      <c r="E101" s="29"/>
      <c r="F101" s="51" t="s">
        <v>41</v>
      </c>
      <c r="G101" s="7">
        <f t="shared" si="38"/>
        <v>0</v>
      </c>
      <c r="H101" s="7">
        <f t="shared" si="38"/>
        <v>0</v>
      </c>
      <c r="I101" s="7">
        <f t="shared" si="38"/>
        <v>0</v>
      </c>
      <c r="J101" s="7">
        <f t="shared" si="38"/>
        <v>0</v>
      </c>
      <c r="K101" s="7">
        <f t="shared" si="38"/>
        <v>0</v>
      </c>
      <c r="L101" s="7">
        <f t="shared" si="38"/>
        <v>0</v>
      </c>
    </row>
    <row r="102" spans="1:12" ht="15.75" customHeight="1">
      <c r="A102" s="517"/>
      <c r="B102" s="476"/>
      <c r="D102" s="8"/>
      <c r="E102" s="29"/>
      <c r="F102" s="51" t="s">
        <v>66</v>
      </c>
      <c r="G102" s="7">
        <f t="shared" ref="G102:L102" si="39">G77</f>
        <v>0</v>
      </c>
      <c r="H102" s="7">
        <f t="shared" si="39"/>
        <v>0</v>
      </c>
      <c r="I102" s="7">
        <f t="shared" si="39"/>
        <v>0</v>
      </c>
      <c r="J102" s="7">
        <f t="shared" si="39"/>
        <v>0</v>
      </c>
      <c r="K102" s="7">
        <f t="shared" si="39"/>
        <v>0</v>
      </c>
      <c r="L102" s="7">
        <f t="shared" si="39"/>
        <v>0</v>
      </c>
    </row>
    <row r="103" spans="1:12" ht="15.75" customHeight="1">
      <c r="A103" s="517"/>
      <c r="B103" s="476"/>
      <c r="D103" s="8"/>
      <c r="E103" s="29"/>
      <c r="F103" s="51" t="s">
        <v>42</v>
      </c>
      <c r="G103" s="7">
        <f t="shared" ref="G103:L103" si="40">G57</f>
        <v>0</v>
      </c>
      <c r="H103" s="7">
        <f t="shared" si="40"/>
        <v>0</v>
      </c>
      <c r="I103" s="7">
        <f t="shared" si="40"/>
        <v>0</v>
      </c>
      <c r="J103" s="7">
        <f t="shared" si="40"/>
        <v>0</v>
      </c>
      <c r="K103" s="7">
        <f t="shared" si="40"/>
        <v>0</v>
      </c>
      <c r="L103" s="7">
        <f t="shared" si="40"/>
        <v>0</v>
      </c>
    </row>
    <row r="104" spans="1:12" ht="15.75" customHeight="1">
      <c r="A104" s="475" t="s">
        <v>77</v>
      </c>
      <c r="B104" s="476"/>
      <c r="D104" s="8"/>
      <c r="E104" s="29"/>
      <c r="F104" s="51" t="s">
        <v>43</v>
      </c>
      <c r="G104" s="7">
        <f t="shared" ref="G104:L104" si="41">G61</f>
        <v>0</v>
      </c>
      <c r="H104" s="7">
        <f t="shared" si="41"/>
        <v>0</v>
      </c>
      <c r="I104" s="7">
        <f t="shared" si="41"/>
        <v>0</v>
      </c>
      <c r="J104" s="7">
        <f t="shared" si="41"/>
        <v>0</v>
      </c>
      <c r="K104" s="7">
        <f t="shared" si="41"/>
        <v>0</v>
      </c>
      <c r="L104" s="7">
        <f t="shared" si="41"/>
        <v>0</v>
      </c>
    </row>
    <row r="105" spans="1:12" ht="15.75" customHeight="1" thickBot="1">
      <c r="A105" s="477"/>
      <c r="B105" s="478"/>
      <c r="D105" s="8"/>
      <c r="E105" s="29"/>
      <c r="F105" s="51" t="s">
        <v>44</v>
      </c>
      <c r="G105" s="7">
        <f t="shared" ref="G105:L105" si="42">G80</f>
        <v>0</v>
      </c>
      <c r="H105" s="7">
        <f t="shared" si="42"/>
        <v>0</v>
      </c>
      <c r="I105" s="7">
        <f t="shared" si="42"/>
        <v>0</v>
      </c>
      <c r="J105" s="7">
        <f t="shared" si="42"/>
        <v>0</v>
      </c>
      <c r="K105" s="7">
        <f t="shared" si="42"/>
        <v>0</v>
      </c>
      <c r="L105" s="7">
        <f t="shared" si="42"/>
        <v>0</v>
      </c>
    </row>
    <row r="106" spans="1:12" ht="15.75" customHeight="1" thickTop="1">
      <c r="D106" s="8"/>
      <c r="E106" s="29"/>
      <c r="F106" s="51" t="s">
        <v>45</v>
      </c>
      <c r="G106" s="7">
        <f t="shared" ref="G106:L106" si="43">G49</f>
        <v>0</v>
      </c>
      <c r="H106" s="7">
        <f t="shared" si="43"/>
        <v>0</v>
      </c>
      <c r="I106" s="7">
        <f t="shared" si="43"/>
        <v>0</v>
      </c>
      <c r="J106" s="7">
        <f t="shared" si="43"/>
        <v>0</v>
      </c>
      <c r="K106" s="7">
        <f t="shared" si="43"/>
        <v>0</v>
      </c>
      <c r="L106" s="7">
        <f t="shared" si="43"/>
        <v>0</v>
      </c>
    </row>
    <row r="107" spans="1:12" ht="15.75" customHeight="1">
      <c r="D107" s="8"/>
      <c r="E107" s="29"/>
      <c r="F107" s="51" t="s">
        <v>46</v>
      </c>
      <c r="G107" s="7">
        <f t="shared" ref="G107:L107" si="44">G43</f>
        <v>0</v>
      </c>
      <c r="H107" s="7">
        <f t="shared" si="44"/>
        <v>0</v>
      </c>
      <c r="I107" s="7">
        <f t="shared" si="44"/>
        <v>0</v>
      </c>
      <c r="J107" s="7">
        <f t="shared" si="44"/>
        <v>0</v>
      </c>
      <c r="K107" s="7">
        <f t="shared" si="44"/>
        <v>0</v>
      </c>
      <c r="L107" s="7">
        <f t="shared" si="44"/>
        <v>0</v>
      </c>
    </row>
    <row r="108" spans="1:12" ht="15.75" customHeight="1">
      <c r="D108" s="8"/>
      <c r="E108" s="29"/>
      <c r="F108" s="51" t="s">
        <v>47</v>
      </c>
      <c r="G108" s="7">
        <f t="shared" ref="G108:L108" si="45">G83</f>
        <v>0</v>
      </c>
      <c r="H108" s="7">
        <f t="shared" si="45"/>
        <v>0</v>
      </c>
      <c r="I108" s="7">
        <f t="shared" si="45"/>
        <v>0</v>
      </c>
      <c r="J108" s="7">
        <f t="shared" si="45"/>
        <v>0</v>
      </c>
      <c r="K108" s="7">
        <f t="shared" si="45"/>
        <v>0</v>
      </c>
      <c r="L108" s="7">
        <f t="shared" si="45"/>
        <v>0</v>
      </c>
    </row>
    <row r="109" spans="1:12" ht="15.75" customHeight="1">
      <c r="D109" s="8"/>
      <c r="E109" s="29"/>
      <c r="F109" s="51" t="s">
        <v>48</v>
      </c>
      <c r="G109" s="7">
        <f t="shared" ref="G109:L109" si="46">G73</f>
        <v>0</v>
      </c>
      <c r="H109" s="7">
        <f t="shared" si="46"/>
        <v>0</v>
      </c>
      <c r="I109" s="7">
        <f t="shared" si="46"/>
        <v>0</v>
      </c>
      <c r="J109" s="7">
        <f t="shared" si="46"/>
        <v>0</v>
      </c>
      <c r="K109" s="7">
        <f t="shared" si="46"/>
        <v>0</v>
      </c>
      <c r="L109" s="7">
        <f t="shared" si="46"/>
        <v>0</v>
      </c>
    </row>
    <row r="110" spans="1:12" ht="15.75" customHeight="1">
      <c r="D110" s="8"/>
      <c r="E110" s="29"/>
      <c r="F110" s="51" t="s">
        <v>49</v>
      </c>
      <c r="G110" s="7">
        <f t="shared" ref="G110:L110" si="47">G66</f>
        <v>0</v>
      </c>
      <c r="H110" s="7">
        <f t="shared" si="47"/>
        <v>0</v>
      </c>
      <c r="I110" s="7">
        <f t="shared" si="47"/>
        <v>0</v>
      </c>
      <c r="J110" s="7">
        <f t="shared" si="47"/>
        <v>0</v>
      </c>
      <c r="K110" s="7">
        <f t="shared" si="47"/>
        <v>0</v>
      </c>
      <c r="L110" s="7">
        <f t="shared" si="47"/>
        <v>0</v>
      </c>
    </row>
    <row r="111" spans="1:12" ht="15.75" customHeight="1" thickBot="1">
      <c r="D111" s="8"/>
      <c r="E111" s="29"/>
      <c r="F111" s="51" t="s">
        <v>204</v>
      </c>
      <c r="G111" s="7">
        <f t="shared" ref="G111:L111" si="48">G70</f>
        <v>0</v>
      </c>
      <c r="H111" s="7">
        <f t="shared" si="48"/>
        <v>0</v>
      </c>
      <c r="I111" s="7">
        <f t="shared" si="48"/>
        <v>0</v>
      </c>
      <c r="J111" s="7">
        <f t="shared" si="48"/>
        <v>0</v>
      </c>
      <c r="K111" s="7">
        <f t="shared" si="48"/>
        <v>0</v>
      </c>
      <c r="L111" s="7">
        <f t="shared" si="48"/>
        <v>0</v>
      </c>
    </row>
    <row r="112" spans="1:12" ht="15.75" customHeight="1" thickBot="1">
      <c r="D112" s="42"/>
      <c r="E112" s="31"/>
      <c r="F112" s="52" t="s">
        <v>21</v>
      </c>
      <c r="G112" s="53">
        <f t="shared" ref="G112:L112" si="49">G84</f>
        <v>0</v>
      </c>
      <c r="H112" s="53">
        <f t="shared" si="49"/>
        <v>0</v>
      </c>
      <c r="I112" s="53">
        <f t="shared" si="49"/>
        <v>0</v>
      </c>
      <c r="J112" s="53">
        <f t="shared" si="49"/>
        <v>0</v>
      </c>
      <c r="K112" s="53">
        <f t="shared" si="49"/>
        <v>0</v>
      </c>
      <c r="L112" s="53">
        <f t="shared" si="49"/>
        <v>0</v>
      </c>
    </row>
    <row r="113" spans="1:23" ht="15.75" customHeight="1" thickBot="1">
      <c r="A113" s="173" t="str">
        <f>+'Sponsor Budget'!A111</f>
        <v>update: 7/10/2014</v>
      </c>
      <c r="D113" s="8"/>
      <c r="E113" s="29"/>
      <c r="F113" s="51" t="s">
        <v>50</v>
      </c>
      <c r="G113" s="7">
        <f t="shared" ref="G113:L114" si="50">G93</f>
        <v>0</v>
      </c>
      <c r="H113" s="7">
        <f t="shared" si="50"/>
        <v>0</v>
      </c>
      <c r="I113" s="7">
        <f t="shared" si="50"/>
        <v>0</v>
      </c>
      <c r="J113" s="7">
        <f t="shared" si="50"/>
        <v>0</v>
      </c>
      <c r="K113" s="7">
        <f t="shared" si="50"/>
        <v>0</v>
      </c>
      <c r="L113" s="7">
        <f t="shared" si="50"/>
        <v>0</v>
      </c>
    </row>
    <row r="114" spans="1:23" ht="15.75" customHeight="1" thickBot="1">
      <c r="D114" s="42"/>
      <c r="E114" s="31"/>
      <c r="F114" s="52" t="s">
        <v>20</v>
      </c>
      <c r="G114" s="53">
        <f>G94</f>
        <v>0</v>
      </c>
      <c r="H114" s="53">
        <f t="shared" si="50"/>
        <v>0</v>
      </c>
      <c r="I114" s="53">
        <f t="shared" si="50"/>
        <v>0</v>
      </c>
      <c r="J114" s="53">
        <f t="shared" si="50"/>
        <v>0</v>
      </c>
      <c r="K114" s="53">
        <f t="shared" si="50"/>
        <v>0</v>
      </c>
      <c r="L114" s="53">
        <f>L94</f>
        <v>0</v>
      </c>
    </row>
    <row r="116" spans="1:23" s="130" customFormat="1" ht="15.75" customHeight="1">
      <c r="A116" s="106" t="s">
        <v>71</v>
      </c>
      <c r="B116" s="104"/>
      <c r="C116" s="104"/>
      <c r="D116" s="104"/>
      <c r="E116" s="104"/>
      <c r="F116" s="104"/>
      <c r="G116" s="104"/>
      <c r="H116" s="104"/>
      <c r="I116" s="104"/>
      <c r="J116" s="105"/>
      <c r="M116" s="290"/>
      <c r="N116" s="290"/>
      <c r="O116" s="290"/>
      <c r="P116" s="290"/>
      <c r="Q116" s="290"/>
      <c r="R116" s="290"/>
      <c r="S116" s="290"/>
      <c r="T116" s="290"/>
      <c r="U116" s="290"/>
      <c r="V116" s="290"/>
      <c r="W116" s="290"/>
    </row>
    <row r="117" spans="1:23" s="130" customFormat="1" ht="15.75" customHeight="1">
      <c r="A117" s="106" t="s">
        <v>60</v>
      </c>
      <c r="B117" s="104"/>
      <c r="C117" s="104"/>
      <c r="D117" s="104"/>
      <c r="E117" s="104"/>
      <c r="F117" s="104"/>
      <c r="G117" s="104"/>
      <c r="H117" s="104"/>
      <c r="I117" s="104"/>
      <c r="J117" s="105"/>
      <c r="M117" s="290"/>
      <c r="N117" s="290"/>
      <c r="O117" s="290"/>
      <c r="P117" s="290"/>
      <c r="Q117" s="290"/>
      <c r="R117" s="290"/>
      <c r="S117" s="290"/>
      <c r="T117" s="290"/>
      <c r="U117" s="290"/>
      <c r="V117" s="290"/>
      <c r="W117" s="290"/>
    </row>
    <row r="118" spans="1:23" s="130" customFormat="1" ht="15.75" customHeight="1">
      <c r="A118" s="103" t="s">
        <v>72</v>
      </c>
      <c r="B118" s="104"/>
      <c r="C118" s="104"/>
      <c r="D118" s="104"/>
      <c r="E118" s="104"/>
      <c r="F118" s="104"/>
      <c r="G118" s="104"/>
      <c r="H118" s="104"/>
      <c r="I118" s="104"/>
      <c r="J118" s="105"/>
      <c r="M118" s="290"/>
      <c r="N118" s="290"/>
      <c r="O118" s="290"/>
      <c r="P118" s="290"/>
      <c r="Q118" s="290"/>
      <c r="R118" s="290"/>
      <c r="S118" s="290"/>
      <c r="T118" s="290"/>
      <c r="U118" s="290"/>
      <c r="V118" s="290"/>
      <c r="W118" s="290"/>
    </row>
    <row r="119" spans="1:23" s="130" customFormat="1" ht="15.75" customHeight="1">
      <c r="A119" s="103" t="s">
        <v>73</v>
      </c>
      <c r="B119" s="104"/>
      <c r="C119" s="104"/>
      <c r="D119" s="104"/>
      <c r="E119" s="104"/>
      <c r="F119" s="104"/>
      <c r="G119" s="104"/>
      <c r="H119" s="104"/>
      <c r="I119" s="104"/>
      <c r="J119" s="105"/>
      <c r="M119" s="290"/>
      <c r="N119" s="290"/>
      <c r="O119" s="290"/>
      <c r="P119" s="290"/>
      <c r="Q119" s="290"/>
      <c r="R119" s="290"/>
      <c r="S119" s="290"/>
      <c r="T119" s="290"/>
      <c r="U119" s="290"/>
      <c r="V119" s="290"/>
      <c r="W119" s="290"/>
    </row>
    <row r="120" spans="1:23" s="130" customFormat="1" ht="15.75" customHeight="1">
      <c r="A120" s="107" t="s">
        <v>63</v>
      </c>
      <c r="B120" s="102"/>
      <c r="C120" s="102">
        <v>9.7000000000000003E-2</v>
      </c>
      <c r="D120" s="290"/>
      <c r="E120" s="290"/>
      <c r="F120" s="41"/>
      <c r="M120" s="290"/>
      <c r="N120" s="290"/>
      <c r="O120" s="290"/>
      <c r="P120" s="290"/>
      <c r="Q120" s="290"/>
      <c r="R120" s="290"/>
      <c r="S120" s="290"/>
      <c r="T120" s="290"/>
      <c r="U120" s="290"/>
      <c r="V120" s="290"/>
      <c r="W120" s="290"/>
    </row>
    <row r="121" spans="1:23" s="130" customFormat="1" ht="15.75" customHeight="1">
      <c r="A121" s="107" t="s">
        <v>74</v>
      </c>
      <c r="B121" s="290"/>
      <c r="C121" s="102">
        <v>0.16900000000000001</v>
      </c>
      <c r="D121" s="290"/>
      <c r="E121" s="290"/>
      <c r="F121" s="41"/>
      <c r="M121" s="290"/>
      <c r="N121" s="290"/>
      <c r="O121" s="290"/>
      <c r="P121" s="290"/>
      <c r="Q121" s="290"/>
      <c r="R121" s="290"/>
      <c r="S121" s="290"/>
      <c r="T121" s="290"/>
      <c r="U121" s="290"/>
      <c r="V121" s="290"/>
      <c r="W121" s="290"/>
    </row>
    <row r="122" spans="1:23" s="130" customFormat="1" ht="15.75" customHeight="1">
      <c r="A122" s="107" t="s">
        <v>64</v>
      </c>
      <c r="B122" s="290"/>
      <c r="C122" s="102">
        <v>0.71599999999999997</v>
      </c>
      <c r="D122" s="290"/>
      <c r="E122" s="290"/>
      <c r="F122" s="41"/>
      <c r="M122" s="290"/>
      <c r="N122" s="290"/>
      <c r="O122" s="290"/>
      <c r="P122" s="290"/>
      <c r="Q122" s="290"/>
      <c r="R122" s="290"/>
      <c r="S122" s="290"/>
      <c r="T122" s="290"/>
      <c r="U122" s="290"/>
      <c r="V122" s="290"/>
      <c r="W122" s="290"/>
    </row>
    <row r="123" spans="1:23" s="130" customFormat="1" ht="15.75" customHeight="1">
      <c r="A123" s="107" t="s">
        <v>75</v>
      </c>
      <c r="B123" s="290"/>
      <c r="C123" s="290"/>
      <c r="D123" s="290"/>
      <c r="E123" s="290"/>
      <c r="F123" s="41"/>
      <c r="M123" s="290"/>
      <c r="N123" s="290"/>
      <c r="O123" s="290"/>
      <c r="P123" s="290"/>
      <c r="Q123" s="290"/>
      <c r="R123" s="290"/>
      <c r="S123" s="290"/>
      <c r="T123" s="290"/>
      <c r="U123" s="290"/>
      <c r="V123" s="290"/>
      <c r="W123" s="290"/>
    </row>
  </sheetData>
  <mergeCells count="9">
    <mergeCell ref="D99:F99"/>
    <mergeCell ref="A101:B103"/>
    <mergeCell ref="A104:B105"/>
    <mergeCell ref="M86:R87"/>
    <mergeCell ref="M7:R8"/>
    <mergeCell ref="M21:R23"/>
    <mergeCell ref="M34:R36"/>
    <mergeCell ref="M51:R54"/>
    <mergeCell ref="G96:K96"/>
  </mergeCells>
  <hyperlinks>
    <hyperlink ref="B68" r:id="rId1" location="state "/>
  </hyperlinks>
  <printOptions horizontalCentered="1"/>
  <pageMargins left="0.25" right="0.25" top="0.25" bottom="0.22" header="0.28000000000000003" footer="0.17"/>
  <pageSetup scale="48" orientation="portrait" r:id="rId2"/>
  <headerFooter alignWithMargins="0">
    <oddFooter>&amp;R&amp;"Century Gothic,Regular"&amp;Z&amp;F</oddFooter>
  </headerFooter>
  <rowBreaks count="1" manualBreakCount="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Sponsor Budget</vt:lpstr>
      <vt:lpstr>Cost Share</vt:lpstr>
      <vt:lpstr>Ebcalc 1-12-15</vt:lpstr>
      <vt:lpstr>GRA Steps 26-32</vt:lpstr>
      <vt:lpstr>Person Months Calculator</vt:lpstr>
      <vt:lpstr>BPPM 70.09</vt:lpstr>
      <vt:lpstr>NIH Modular Budget</vt:lpstr>
      <vt:lpstr>Sheet1</vt:lpstr>
      <vt:lpstr>'Cost Share'!Print_Area</vt:lpstr>
      <vt:lpstr>'GRA Steps 26-32'!Print_Area</vt:lpstr>
      <vt:lpstr>'NIH Modular Budget'!Print_Area</vt:lpstr>
      <vt:lpstr>'Sponsor Budget'!Print_Area</vt:lpstr>
      <vt:lpstr>'BPPM 70.09'!state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Grant and Research De</dc:creator>
  <cp:lastModifiedBy>Gepner, Elise</cp:lastModifiedBy>
  <cp:lastPrinted>2012-09-18T22:39:16Z</cp:lastPrinted>
  <dcterms:created xsi:type="dcterms:W3CDTF">2000-07-03T19:58:09Z</dcterms:created>
  <dcterms:modified xsi:type="dcterms:W3CDTF">2015-01-15T18:47:42Z</dcterms:modified>
</cp:coreProperties>
</file>